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00" windowWidth="34440" windowHeight="19820" tabRatio="777" activeTab="0"/>
  </bookViews>
  <sheets>
    <sheet name="End use energy U.S. and world" sheetId="1" r:id="rId1"/>
    <sheet name="End use and other factors" sheetId="2" r:id="rId2"/>
    <sheet name="Transportation energy" sheetId="3" r:id="rId3"/>
    <sheet name="Household energy" sheetId="4" r:id="rId4"/>
    <sheet name="Manufacturing energy" sheetId="5" r:id="rId5"/>
    <sheet name="Industrial sector and refining" sheetId="6" r:id="rId6"/>
    <sheet name="Table F1 -- world energy" sheetId="7" r:id="rId7"/>
    <sheet name="Table F2 -- OECD energy" sheetId="8" r:id="rId8"/>
    <sheet name="Table F3 -- US energy" sheetId="9" r:id="rId9"/>
    <sheet name="Generation costs" sheetId="10" r:id="rId10"/>
    <sheet name="Transmission costs" sheetId="11" r:id="rId11"/>
    <sheet name="Battery V2G cost 1" sheetId="12" r:id="rId12"/>
    <sheet name="Battery V2G cost 2" sheetId="13" r:id="rId13"/>
    <sheet name="Lithium in batteries" sheetId="14" r:id="rId14"/>
    <sheet name="Neodymium supply" sheetId="15" r:id="rId15"/>
  </sheets>
  <definedNames/>
  <calcPr calcMode="manual" fullCalcOnLoad="1" calcCompleted="0" calcOnSave="0" iterate="1" iterateCount="1" iterateDelta="0.001"/>
</workbook>
</file>

<file path=xl/comments11.xml><?xml version="1.0" encoding="utf-8"?>
<comments xmlns="http://schemas.openxmlformats.org/spreadsheetml/2006/main">
  <authors>
    <author>Mark Delucchi</author>
  </authors>
  <commentList>
    <comment ref="D5" authorId="0">
      <text>
        <r>
          <rPr>
            <b/>
            <sz val="9"/>
            <rFont val="Verdana"/>
            <family val="0"/>
          </rPr>
          <t>Mark Delucchi:</t>
        </r>
        <r>
          <rPr>
            <sz val="9"/>
            <rFont val="Verdana"/>
            <family val="0"/>
          </rPr>
          <t xml:space="preserve">
MW refers to capacity of wind farm</t>
        </r>
      </text>
    </comment>
  </commentList>
</comments>
</file>

<file path=xl/comments12.xml><?xml version="1.0" encoding="utf-8"?>
<comments xmlns="http://schemas.openxmlformats.org/spreadsheetml/2006/main">
  <authors>
    <author>Mark Delucchi</author>
  </authors>
  <commentList>
    <comment ref="B31" authorId="0">
      <text>
        <r>
          <rPr>
            <b/>
            <sz val="9"/>
            <rFont val="Verdana"/>
            <family val="0"/>
          </rPr>
          <t>Mark Delucchi:</t>
        </r>
        <r>
          <rPr>
            <sz val="9"/>
            <rFont val="Verdana"/>
            <family val="0"/>
          </rPr>
          <t xml:space="preserve">
Calculation accounts for energy losses in the battery charger and in the battery during charge and discharge</t>
        </r>
      </text>
    </comment>
  </commentList>
</comments>
</file>

<file path=xl/comments13.xml><?xml version="1.0" encoding="utf-8"?>
<comments xmlns="http://schemas.openxmlformats.org/spreadsheetml/2006/main">
  <authors>
    <author>Mark Delucchi</author>
  </authors>
  <commentList>
    <comment ref="B2" authorId="0">
      <text>
        <r>
          <rPr>
            <b/>
            <sz val="9"/>
            <rFont val="Verdana"/>
            <family val="0"/>
          </rPr>
          <t>Mark Delucchi:</t>
        </r>
        <r>
          <rPr>
            <sz val="9"/>
            <rFont val="Verdana"/>
            <family val="0"/>
          </rPr>
          <t xml:space="preserve">
Green shaded inputs are new here; other inputs are taken from V2G cost 1 sheet. </t>
        </r>
      </text>
    </comment>
  </commentList>
</comments>
</file>

<file path=xl/sharedStrings.xml><?xml version="1.0" encoding="utf-8"?>
<sst xmlns="http://schemas.openxmlformats.org/spreadsheetml/2006/main" count="978" uniqueCount="525">
  <si>
    <r>
      <t>Fuel costs</t>
    </r>
    <r>
      <rPr>
        <sz val="10"/>
        <rFont val="Verdana"/>
        <family val="0"/>
      </rPr>
      <t xml:space="preserve"> for coal and natural gas used in the electricity sector are from Table 3 of EIA's </t>
    </r>
    <r>
      <rPr>
        <i/>
        <sz val="10"/>
        <rFont val="Verdana"/>
        <family val="0"/>
      </rPr>
      <t>Annual Energy Outlook</t>
    </r>
    <r>
      <rPr>
        <sz val="10"/>
        <rFont val="Verdana"/>
        <family val="0"/>
      </rPr>
      <t xml:space="preserve"> (2009a).</t>
    </r>
  </si>
  <si>
    <r>
      <t xml:space="preserve">Combustion efficiency </t>
    </r>
    <r>
      <rPr>
        <sz val="10"/>
        <rFont val="Verdana"/>
        <family val="0"/>
      </rPr>
      <t xml:space="preserve">is calculated from heat rates shown in Table 8.2 of the EIA's </t>
    </r>
    <r>
      <rPr>
        <i/>
        <sz val="10"/>
        <rFont val="Verdana"/>
        <family val="0"/>
      </rPr>
      <t xml:space="preserve">Assumptions to the Annual Energy Outlook 2009 </t>
    </r>
    <r>
      <rPr>
        <sz val="10"/>
        <rFont val="Verdana"/>
        <family val="0"/>
      </rPr>
      <t>(2009b). That Table shows the rate in 2008 and the rate for the "nth-of-a-kind plant," which we assume applies to the year 2030. (Elsewhere in that report, the EIA states that "heat rates for fossil-fueled technologies are assumed to decline linearly through 2025" [EIA, 2009b, p. 88].) We assume that BTUs are based on higher heating values, which is the EIA's usual convention.</t>
    </r>
  </si>
  <si>
    <r>
      <t>Discount rate estimate</t>
    </r>
    <r>
      <rPr>
        <sz val="10"/>
        <rFont val="Verdana"/>
        <family val="0"/>
      </rPr>
      <t xml:space="preserve"> is based on the EIA's estimate of the weighted average cost of capital (WACC). In Figure 9 of the documentation for the electricity module of the National Enegy Modeling System (NEMS), the estimated WACC is shown to be about 10.4% in 2008 and 10.2% in 2030 (EIA, 2009c).</t>
    </r>
  </si>
  <si>
    <r>
      <t xml:space="preserve">Utility cost of </t>
    </r>
    <r>
      <rPr>
        <i/>
        <sz val="12"/>
        <rFont val="Verdana"/>
        <family val="0"/>
      </rPr>
      <t>extra</t>
    </r>
    <r>
      <rPr>
        <sz val="12"/>
        <rFont val="Verdana"/>
        <family val="0"/>
      </rPr>
      <t xml:space="preserve"> electronics and infrastructure needed to manage V2G system, per vehicle ($)</t>
    </r>
  </si>
  <si>
    <r>
      <t>Rare earth oxide and Neodymium oxide</t>
    </r>
    <r>
      <rPr>
        <b/>
        <sz val="12"/>
        <color indexed="8"/>
        <rFont val="Verdana"/>
        <family val="0"/>
      </rPr>
      <t xml:space="preserve"> production, reserves and resources worldwide (million metric tones of rare earth oxide)</t>
    </r>
  </si>
  <si>
    <t>Nd oxide needd per year (metric tonnes)</t>
  </si>
  <si>
    <t>Years that reserves last, given wind power plus year 2008 production</t>
  </si>
  <si>
    <t>Years that reserve base lasts, given wind power plus year 2008 production</t>
  </si>
  <si>
    <t>Years that resources last, given wind power plus year 2008 production</t>
  </si>
  <si>
    <r>
      <t xml:space="preserve">EIA </t>
    </r>
    <r>
      <rPr>
        <b/>
        <i/>
        <sz val="14"/>
        <rFont val="Verdana"/>
        <family val="0"/>
      </rPr>
      <t>Annual Energy Outlook 2009</t>
    </r>
    <r>
      <rPr>
        <b/>
        <sz val="14"/>
        <rFont val="Verdana"/>
        <family val="0"/>
      </rPr>
      <t xml:space="preserve"> estimation of the cost of electricity generation for various technologies</t>
    </r>
  </si>
  <si>
    <r>
      <t>Capital costs</t>
    </r>
    <r>
      <rPr>
        <sz val="10"/>
        <rFont val="Verdana"/>
        <family val="0"/>
      </rPr>
      <t xml:space="preserve"> in 2008 and 2030 are from Table 8.13 of the EIA's </t>
    </r>
    <r>
      <rPr>
        <i/>
        <sz val="10"/>
        <rFont val="Verdana"/>
        <family val="0"/>
      </rPr>
      <t xml:space="preserve">Assumptions to the Annual Energy Outlook 2009 </t>
    </r>
    <r>
      <rPr>
        <sz val="10"/>
        <rFont val="Verdana"/>
        <family val="0"/>
      </rPr>
      <t>(2009b). The capital costs are "total overnight costs," and include project contingency, technological optimism factors, and learning factors. Costs pertain to projects online in the given year. In year-2007 dollars. The scaling factor is used to convert the reference case to the "falling costs" case; according to the EIA (2009b) Table 8.13, this ratio is 0.7076 for wind and solar in 2030.</t>
    </r>
  </si>
  <si>
    <r>
      <t>Capacity factors</t>
    </r>
    <r>
      <rPr>
        <sz val="10"/>
        <rFont val="Verdana"/>
        <family val="0"/>
      </rPr>
      <t xml:space="preserve"> for renewables are from Table 13.2 of the EIA's </t>
    </r>
    <r>
      <rPr>
        <i/>
        <sz val="10"/>
        <rFont val="Verdana"/>
        <family val="0"/>
      </rPr>
      <t xml:space="preserve">Assumptions to the Annual Energy Outlook 2009 </t>
    </r>
    <r>
      <rPr>
        <sz val="10"/>
        <rFont val="Verdana"/>
        <family val="0"/>
      </rPr>
      <t xml:space="preserve">(2009b). The EIA shows values for the year 2012 (which we use for 2008) and the year 2030. Capacity factor for coal and natural gas for 2008 assumed to be equal to actual average capacity factors for coal and NG in 2007, as reported in Table A6 of the EIA's </t>
    </r>
    <r>
      <rPr>
        <i/>
        <sz val="10"/>
        <rFont val="Verdana"/>
        <family val="0"/>
      </rPr>
      <t>Electric Power Annual 2007</t>
    </r>
    <r>
      <rPr>
        <sz val="10"/>
        <rFont val="Verdana"/>
        <family val="0"/>
      </rPr>
      <t xml:space="preserve"> (2009d). Capacity factors for coal and natural gas for 2030 assumed to be 5% (coal) or 10% (NG) higher than in 2007, because the EIA (2009d) data indicate that the capacity factor is increasing over time. </t>
    </r>
  </si>
  <si>
    <r>
      <t>Lifetime</t>
    </r>
    <r>
      <rPr>
        <sz val="10"/>
        <rFont val="Verdana"/>
        <family val="0"/>
      </rPr>
      <t xml:space="preserve"> based on this statement in EIA's NEMS documentation: "Technologies are compared on the basis of total capital and operating costs incurred over a 20- year period" (EIA, 2009c, p. 5).</t>
    </r>
  </si>
  <si>
    <r>
      <t>Variable O&amp;M and fixed O&amp;M</t>
    </r>
    <r>
      <rPr>
        <sz val="10"/>
        <rFont val="Verdana"/>
        <family val="0"/>
      </rPr>
      <t xml:space="preserve"> are from Table 8.2 of the EIA's </t>
    </r>
    <r>
      <rPr>
        <i/>
        <sz val="10"/>
        <rFont val="Verdana"/>
        <family val="0"/>
      </rPr>
      <t xml:space="preserve">Assumptions to the Annual Energy Outlook 2009 </t>
    </r>
    <r>
      <rPr>
        <sz val="10"/>
        <rFont val="Verdana"/>
        <family val="0"/>
      </rPr>
      <t>(2009b). The EIA shows only one set of values; we assume these are the same in 2030 and 2008. In year-2007 dolars.</t>
    </r>
  </si>
  <si>
    <t>Cost per kWh associated with unused calcs.</t>
  </si>
  <si>
    <t>Test of parameters that determine ratio of actual value to fraction of capacity left (for unused calculation, for consumer perspective)</t>
  </si>
  <si>
    <t xml:space="preserve">Fraction of </t>
  </si>
  <si>
    <t xml:space="preserve">Ratio of actual value to </t>
  </si>
  <si>
    <t>capacity left</t>
  </si>
  <si>
    <t>fraction of capacity</t>
  </si>
  <si>
    <t>THIS ANALYSIS IS BASED ON ESTIMATES OF THE LOSS OF BATTERY CAPACITY PER KWH WITHDRAWN</t>
  </si>
  <si>
    <t>Fractional change in battery capacity per "normalized" watt-hour withdrawn, driving</t>
  </si>
  <si>
    <t>Fractional change in battery capacity per "normalized" watt-hour withdrawn, V2G cycling</t>
  </si>
  <si>
    <t>Fractional loss of capacity that marks the end of the battery's useful life</t>
  </si>
  <si>
    <t>Daily energy discharge (kWh)</t>
  </si>
  <si>
    <t>Yearly fractional change of capacity</t>
  </si>
  <si>
    <t>Lithium percentage of batteries, and cost of lithium per kg</t>
  </si>
  <si>
    <t>Battery type --&gt;</t>
  </si>
  <si>
    <t>NCA-G</t>
  </si>
  <si>
    <t>LFP-G</t>
  </si>
  <si>
    <t>LMO-G</t>
  </si>
  <si>
    <t>LMO-TiO</t>
  </si>
  <si>
    <t>Vehicle Range(mi) at 300 Wh/mile</t>
  </si>
  <si>
    <t>Total Li in battery pack (kg)</t>
  </si>
  <si>
    <t>Battery mass (kg)</t>
  </si>
  <si>
    <t>Lithium percent of battery</t>
  </si>
  <si>
    <t>Source: Gaines, L., and P. Nelson, “Lithium-Ion Batteries: Possible Materials Issues,” paper presented at The 13th International Battery Materials Recycling Seminar and Exhibit, Broward County Convention Center, Fort Lauderdale, Florida, March 16-18 (2009).</t>
  </si>
  <si>
    <t>$/kg</t>
  </si>
  <si>
    <t>$/kg-Li</t>
  </si>
  <si>
    <t>Lithium carbonate (Li2 CO3)</t>
  </si>
  <si>
    <t>Lithium hydroxide (LiOH)</t>
  </si>
  <si>
    <t>Country</t>
  </si>
  <si>
    <t>Mine production 2008</t>
  </si>
  <si>
    <t>Reserves</t>
  </si>
  <si>
    <t>Reserve Base</t>
  </si>
  <si>
    <t>Resources</t>
  </si>
  <si>
    <t>Nd % of total REO</t>
  </si>
  <si>
    <t>REO</t>
  </si>
  <si>
    <t>NdO</t>
  </si>
  <si>
    <t>United States</t>
  </si>
  <si>
    <t>n.r.</t>
  </si>
  <si>
    <t>Australia</t>
  </si>
  <si>
    <t>China</t>
  </si>
  <si>
    <t>CIS</t>
  </si>
  <si>
    <t>n.a.</t>
  </si>
  <si>
    <t>India</t>
  </si>
  <si>
    <t>Others</t>
  </si>
  <si>
    <t>World total</t>
  </si>
  <si>
    <t>“very large”</t>
  </si>
  <si>
    <t>REO = total rare earth oxide</t>
  </si>
  <si>
    <t>Nd O = neodymium oxide</t>
  </si>
  <si>
    <t>Calculation of impact on supply of demand for Nd by wind turbines</t>
  </si>
  <si>
    <t>Nd per MW in a wind turbine (metric tonnes)</t>
  </si>
  <si>
    <t>MW of  wind power</t>
  </si>
  <si>
    <t>Number of years that windpower is phased in</t>
  </si>
  <si>
    <t>Ratio of weight of Nd oxide to Nd (assume Nd2O3)</t>
  </si>
  <si>
    <t>Assumed ratio of total resources to reserve base</t>
  </si>
  <si>
    <t>CALCULATED VALUES</t>
  </si>
  <si>
    <t>Don't sell to grid</t>
  </si>
  <si>
    <t>Sell to grid</t>
  </si>
  <si>
    <t>Cost of replacement battery ($)</t>
  </si>
  <si>
    <t>Net cost of battery replacement, including new battery cost with installation, removal of old battery, value of old battery in non-automotive markets</t>
  </si>
  <si>
    <t>Discount rate for the period of time equal to the battery life (%/period)</t>
  </si>
  <si>
    <t>Components of the cost of V2G cycling, per kWh diverted to V2G cycling ($/kWh-sent-to-battery-charger)</t>
  </si>
  <si>
    <t>Annualized cost of present value of change in battery-replacement and disposal frequency, due to V2G cycling</t>
  </si>
  <si>
    <t>Annualized cost of extra electronic and infrastructure</t>
  </si>
  <si>
    <t>Cost of replacing electricity lost in charge/discharge cycling</t>
  </si>
  <si>
    <t>Total cost per kWh diverted to V2G cycling</t>
  </si>
  <si>
    <t>THESE ARE INPUTS AND RESULTS FOR THE CONSUMER PERSPECTIVE, USING THE LIFE OF THE VEHICLE AS THE TIME HORIZON.</t>
  </si>
  <si>
    <t>Inputs</t>
  </si>
  <si>
    <t>Lower bound on ratio of the actual  value of the battery at end of vehicle life to what the value would be if it were proportional to energy remaining in the battery (excluding cost of removal and re-use in other vehicles or non-automotive applications)</t>
  </si>
  <si>
    <t>Exponent on energy remaining fraction, in ratio described above</t>
  </si>
  <si>
    <t>Service cost of removing battery and re-using it in other vehicles or non-automotive applications, at end of vehicle life ($)</t>
  </si>
  <si>
    <t>Life of vehicle (years)</t>
  </si>
  <si>
    <t xml:space="preserve">Unused calculations (for consumer perspective, over the life of the vehicle) </t>
  </si>
  <si>
    <t>No V2G</t>
  </si>
  <si>
    <t>V2G</t>
  </si>
  <si>
    <t>Fraction of battery capacity remaining at end of vehicle life</t>
  </si>
  <si>
    <t>Ratio of the actual  automotive-use value of the battery at end of vehicle life to what the automotive-use value would be if it were proportional to energy remaining in the battery (excluding cost of removal and re-use in other vehicles)</t>
  </si>
  <si>
    <t>Present value of remaining automotive-use potential of battery at end of vehicle life, plus present value of battery use in non-automotive applications at end of battery automotive-use life, net of servicing/redeployment costs (negative value is cost, positive value is benefit)</t>
  </si>
  <si>
    <t>Calculating converter losses based on Negra et al. (2006)</t>
  </si>
  <si>
    <t>Total loss, including cable loss (% of annual windfarm production)</t>
  </si>
  <si>
    <t>500 MW</t>
  </si>
  <si>
    <t>100 MW</t>
  </si>
  <si>
    <t>100 km</t>
  </si>
  <si>
    <t>200 km</t>
  </si>
  <si>
    <t>Converter fraction of total loss</t>
  </si>
  <si>
    <t>Converter loss, (% of annual windfarm production)</t>
  </si>
  <si>
    <t>THIS ANALYSIS IS BASED ON AN ESTIMATE OF THE TOTAL BATTERY CYCLE LIFE</t>
  </si>
  <si>
    <t>Discharge capacity of the battery to 100% DoD (kWh)</t>
  </si>
  <si>
    <t>Manufacturing cost of replacement battery ($/kWh)</t>
  </si>
  <si>
    <t>Ratio of retail cost to manufacturing cost</t>
  </si>
  <si>
    <t>Efficiency of vehicle on battery (mi/KWh-battery-discharge)</t>
  </si>
  <si>
    <t>Annual distance on battery (miles/year)</t>
  </si>
  <si>
    <t>Depth-of-discharge at which battery cycle life is determined and to which V2G cycling is normalized (%)</t>
  </si>
  <si>
    <t>Maximum calendar life of battery, regardless of cycling (same end-of-life capacity degradation criteria as is used in regards to cycle life, for automotive use) (years)</t>
  </si>
  <si>
    <t>Service cost of installing new battery and removing old battery and  deploying it in non-automotive applications ($)</t>
  </si>
  <si>
    <t>Hedonic (personal) cost of having to replace battery ($)</t>
  </si>
  <si>
    <t>Value of old battery in non-automotive applications after end of useful life as a motor-vehicle battery (percent of original total retail cost, excluding service cost)</t>
  </si>
  <si>
    <t>Discount rate with respect to battery costs and V2G electronics and infrastructure (%/year)</t>
  </si>
  <si>
    <t>Efficiency of battery charger (accounts for losses from grid to battery terminal)</t>
  </si>
  <si>
    <t>Efficiency of battery charge/discharge cycle (accounts for charging and discharging losses inside battery)</t>
  </si>
  <si>
    <t>Efficiency of inverter (accounts for losses from battery terminal to grid connection)</t>
  </si>
  <si>
    <t>Efficiency of electricity distribution to final end user (accounts for losses from grid connection at V2G house to final end user)</t>
  </si>
  <si>
    <t>Cost of electricity delivered to residential sector to make up for electricity lost by V2G cycling ($/kWh)</t>
  </si>
  <si>
    <t>Lifetime of extra electronics and infrastructure (years)</t>
  </si>
  <si>
    <t>Capacity factor for wind-farm output (%)</t>
  </si>
  <si>
    <t>Transmission line losses (% of power per 1000 km, at rated capacity)</t>
  </si>
  <si>
    <t>Actual average current of transmission, when power is transmitted (fraction of current at rated capacity)</t>
  </si>
  <si>
    <t>Losses in converters and other equipment (% of power, average)</t>
  </si>
  <si>
    <t>Lifetime until replacement or major overhaul (years) -- lines and poles</t>
  </si>
  <si>
    <t>Lifetime until replacement or major overhaul (years) -- all other equipment</t>
  </si>
  <si>
    <t>Maintenance cost (percent of $/MW capital cost, per year)</t>
  </si>
  <si>
    <t>Discount rate</t>
  </si>
  <si>
    <t>Cost of line and tower ($/MWts)</t>
  </si>
  <si>
    <t>Cost of station equipment ($/MWts)</t>
  </si>
  <si>
    <t>Cost of transmission system, including station equipment ($MWts-km)</t>
  </si>
  <si>
    <t>Calculated cost ($/kWh)</t>
  </si>
  <si>
    <t>Line percent of total capital cost</t>
  </si>
  <si>
    <t>Estimates from Bahrman (2006)</t>
  </si>
  <si>
    <t>500 kV bipole</t>
  </si>
  <si>
    <t>2 x 500 kV two bipoles</t>
  </si>
  <si>
    <t>600 kV bipole</t>
  </si>
  <si>
    <t>800 kV bipole</t>
  </si>
  <si>
    <t>INPUTS</t>
  </si>
  <si>
    <t>Rated power (MW)</t>
  </si>
  <si>
    <t>Transmission line cost (million $/km)</t>
  </si>
  <si>
    <t>Total station cost (million $)</t>
  </si>
  <si>
    <t>Transmission distance (km)</t>
  </si>
  <si>
    <t>Losses at full load (MW)</t>
  </si>
  <si>
    <t>Transmission line cost ($/MW-km)</t>
  </si>
  <si>
    <t>Station equipment cost ($/MW)</t>
  </si>
  <si>
    <t>Transmission line cost (million $)</t>
  </si>
  <si>
    <t>Total cost including station equipment (million $)</t>
  </si>
  <si>
    <t>Total cost including station equipment ($/MW-km)</t>
  </si>
  <si>
    <t>Transmission line cost as a percentage of total</t>
  </si>
  <si>
    <t>Losses (% of power per 1000 km/ at rated capacity)</t>
  </si>
  <si>
    <t>Calculating cost per MW-km from studies in Mills et al. (2009)</t>
  </si>
  <si>
    <t>GW added</t>
  </si>
  <si>
    <t>Cost (10^9 $)</t>
  </si>
  <si>
    <t>Length (mi)</t>
  </si>
  <si>
    <t>Calculated $/MW-km</t>
  </si>
  <si>
    <t>Voltage/type</t>
  </si>
  <si>
    <t>Study</t>
  </si>
  <si>
    <t>500 kV AC</t>
  </si>
  <si>
    <t>CAISO-A2</t>
  </si>
  <si>
    <t>500/230 kV AC</t>
  </si>
  <si>
    <t>IAP-2010T</t>
  </si>
  <si>
    <t>IAP-2020</t>
  </si>
  <si>
    <t>Tehachapi</t>
  </si>
  <si>
    <t>CPUC-2017</t>
  </si>
  <si>
    <t>CPUC-2010</t>
  </si>
  <si>
    <t>765 kV AC/800 kV HVDC</t>
  </si>
  <si>
    <t>JCSP</t>
  </si>
  <si>
    <t>765 kV AC</t>
  </si>
  <si>
    <t>SPP-CRA</t>
  </si>
  <si>
    <t>345/500/765 kV AC</t>
  </si>
  <si>
    <t>SPP-EHV</t>
  </si>
  <si>
    <t>MISO 06</t>
  </si>
  <si>
    <t>345 kV AC</t>
  </si>
  <si>
    <t>CapX-1</t>
  </si>
  <si>
    <t>CapX-2</t>
  </si>
  <si>
    <t>SPP-X</t>
  </si>
  <si>
    <t>345/500 kV AC</t>
  </si>
  <si>
    <t>MISO 03-1</t>
  </si>
  <si>
    <t>MISO 03-2</t>
  </si>
  <si>
    <t>138/345 kV AC</t>
  </si>
  <si>
    <t>ERCOT-TOS-1A</t>
  </si>
  <si>
    <t>ERCOT-TOS-1B</t>
  </si>
  <si>
    <t>ERCOT-TOS-2</t>
  </si>
  <si>
    <t>345 kV AC and HVDC</t>
  </si>
  <si>
    <t>ERCOT-TOS-3</t>
  </si>
  <si>
    <t>ERCOT-TOS-4</t>
  </si>
  <si>
    <t>SPP-2</t>
  </si>
  <si>
    <t>ERCOT-C3</t>
  </si>
  <si>
    <t>ERCOT-CW3</t>
  </si>
  <si>
    <t>ERCOT-M2</t>
  </si>
  <si>
    <t>ERCOT-P4</t>
  </si>
  <si>
    <t>Calculations of weighted average cost of capital (WACC)</t>
  </si>
  <si>
    <t>EIA  (2009c)</t>
  </si>
  <si>
    <t>Fthenakis et al. (2009)</t>
  </si>
  <si>
    <t xml:space="preserve">Corporate tax rate (0.38 in EIA, </t>
  </si>
  <si>
    <t xml:space="preserve">  Debt fraction</t>
  </si>
  <si>
    <t>Equity interest rate</t>
  </si>
  <si>
    <t>Debt interest rate</t>
  </si>
  <si>
    <t>Calculated WACC</t>
  </si>
  <si>
    <t>Comparison of our weighted average cost with EIA NEMS in AEO</t>
  </si>
  <si>
    <t>Average cost (cents/kWh)</t>
  </si>
  <si>
    <t>Generation share</t>
  </si>
  <si>
    <t>AEO 2008 generation data</t>
  </si>
  <si>
    <t>Natural gas data</t>
  </si>
  <si>
    <t>Total Natural gas generation (AEO 2008, Table 8)</t>
  </si>
  <si>
    <t>Natural gas steam</t>
  </si>
  <si>
    <t>Assumed fraction from combined cycle (based on capacity reported in AEO 2008 Table 9)</t>
  </si>
  <si>
    <t>Natural gas CC</t>
  </si>
  <si>
    <t>Oil</t>
  </si>
  <si>
    <t>Nuclear</t>
  </si>
  <si>
    <t>Hydro</t>
  </si>
  <si>
    <t>Weighted average</t>
  </si>
  <si>
    <t>EIA AEO 2008:</t>
  </si>
  <si>
    <t>Calculation of transmission costs</t>
  </si>
  <si>
    <t>Low cost</t>
  </si>
  <si>
    <t>Mid cost</t>
  </si>
  <si>
    <t>High cost</t>
  </si>
  <si>
    <t>$/MWts-km, line and tower cost</t>
  </si>
  <si>
    <t>Additional transmission distance in supergrid (km)</t>
  </si>
  <si>
    <t>Reference cost for station equipment (transformers, power conditioners, converters, etc.), at reference power ($/MW)</t>
  </si>
  <si>
    <t>Reference power of system (for reference cost) (MW)</t>
  </si>
  <si>
    <t>Exponent on power in station equipment cost function</t>
  </si>
  <si>
    <t>Actual power capacity of transmission system (MW)</t>
  </si>
  <si>
    <t>Ratio of MW capacity of transmission system to MW capacity of connected wind farm</t>
  </si>
  <si>
    <t>Upstream factors-H2</t>
  </si>
  <si>
    <t xml:space="preserve">Work/energy ratio of LH2 combustion in jet engines relative to ratio for petroleum fuel </t>
  </si>
  <si>
    <t>Required after EHCM</t>
  </si>
  <si>
    <t>EHCM = electricity and hydrogen conservation measures</t>
  </si>
  <si>
    <r>
      <t>Sources:  </t>
    </r>
    <r>
      <rPr>
        <sz val="10"/>
        <rFont val="Symbol"/>
        <family val="0"/>
      </rPr>
      <t>_  </t>
    </r>
    <r>
      <rPr>
        <sz val="10"/>
        <rFont val="Arial"/>
        <family val="0"/>
      </rPr>
      <t>1978 and 1979_Energy Information Administration (EIA), Form EIA-84, "Residential Energy</t>
    </r>
  </si>
  <si>
    <r>
      <t>Consumption Survey."  </t>
    </r>
    <r>
      <rPr>
        <sz val="10"/>
        <rFont val="Symbol"/>
        <family val="0"/>
      </rPr>
      <t>_  </t>
    </r>
    <r>
      <rPr>
        <sz val="10"/>
        <rFont val="Arial"/>
        <family val="0"/>
      </rPr>
      <t>1980 forward_EIA, Form EIA-457, "Residential Energy Consumption Survey."</t>
    </r>
  </si>
  <si>
    <t>World transport fuel use, 2030</t>
  </si>
  <si>
    <t xml:space="preserve">MTOE </t>
  </si>
  <si>
    <t>Source: Calculated from tables with other EIA AER data</t>
  </si>
  <si>
    <t>On-road diesel</t>
  </si>
  <si>
    <t>On road gasoline, LPG</t>
  </si>
  <si>
    <t>Ships</t>
  </si>
  <si>
    <t>Trains</t>
  </si>
  <si>
    <t>fraction electrifiable</t>
  </si>
  <si>
    <t>Slightly greater than jet fuel shsare in U. S. in 2006 (see "Transportation Energy" tab)</t>
  </si>
  <si>
    <t>Of total liquid fuel use in transportation, the fraction that is replaced with LH2 rather than compressed H2, on an energy basis.</t>
  </si>
  <si>
    <t xml:space="preserve">  Annual interest rate for capital (EIA uses 0.103)</t>
  </si>
  <si>
    <t xml:space="preserve">  Lifetime (years) (EIA uses 20, but 30-40 probably is realistic)</t>
  </si>
  <si>
    <t xml:space="preserve">  Scaling factor for capital costs for PV and wind for 2030 (use 1.0 for EIA reference case, 0.7076 for EIA "Falling costs case")</t>
  </si>
  <si>
    <t>YEAR 2008</t>
  </si>
  <si>
    <t>INPUT PARAMETERS</t>
  </si>
  <si>
    <t>CALCULATED RESULTS</t>
  </si>
  <si>
    <t>Capital cost ($/kW)</t>
  </si>
  <si>
    <t>Capacity factor</t>
  </si>
  <si>
    <t>Lifetime (years)</t>
  </si>
  <si>
    <t>Variable O&amp;M ($/kWh)</t>
  </si>
  <si>
    <t>Fixed O&amp;M ($/kW/yr)</t>
  </si>
  <si>
    <t>Fuel cost ($/MMBTU)</t>
  </si>
  <si>
    <t>Combustion efficiency</t>
  </si>
  <si>
    <t>Amortized initial cost ($/kWh)</t>
  </si>
  <si>
    <t>Periodic costs ($/kWh)</t>
  </si>
  <si>
    <t>Total cost ($/kWh)</t>
  </si>
  <si>
    <t>New coal scrubbed</t>
  </si>
  <si>
    <t>IGCC coal</t>
  </si>
  <si>
    <t>IGCC coal w/CCS</t>
  </si>
  <si>
    <t>NG steam/turbine</t>
  </si>
  <si>
    <t>NG advanced CC</t>
  </si>
  <si>
    <t>NG adv. CC w/CCS</t>
  </si>
  <si>
    <t>Geothermal</t>
  </si>
  <si>
    <t>Conventional hydro</t>
  </si>
  <si>
    <t>Wind onshore</t>
  </si>
  <si>
    <t>Wind offshore</t>
  </si>
  <si>
    <t>Solar thermal</t>
  </si>
  <si>
    <t>Solar PV</t>
  </si>
  <si>
    <t>YEAR 2030</t>
  </si>
  <si>
    <t>IGCC = integrated gasification combined cycle; CCS = carbon capture and sequestration; CC = combined cycle; PV = photovoltaic.</t>
  </si>
  <si>
    <t>Note: in all cases, data for NG steam/turbine are my assumptions.</t>
  </si>
  <si>
    <r>
      <t>Expenditures </t>
    </r>
    <r>
      <rPr>
        <sz val="10"/>
        <rFont val="Arial"/>
        <family val="0"/>
      </rPr>
      <t>(billion nominal dollars </t>
    </r>
    <r>
      <rPr>
        <vertAlign val="superscript"/>
        <sz val="10"/>
        <rFont val="Arial"/>
        <family val="0"/>
      </rPr>
      <t>9</t>
    </r>
    <r>
      <rPr>
        <sz val="10"/>
        <rFont val="Arial"/>
        <family val="0"/>
      </rPr>
      <t>)</t>
    </r>
  </si>
  <si>
    <r>
      <t>1</t>
    </r>
    <r>
      <rPr>
        <sz val="10"/>
        <rFont val="Arial"/>
        <family val="0"/>
      </rPr>
      <t>Wood used for space heating is included in "Total Wood."</t>
    </r>
  </si>
  <si>
    <r>
      <t>8</t>
    </r>
    <r>
      <rPr>
        <sz val="10"/>
        <rFont val="Arial"/>
        <family val="0"/>
      </rPr>
      <t>Wood used for both space heating and ambience.</t>
    </r>
  </si>
  <si>
    <t>independent rounding, the presence of estimates that round to zero, and the presence of estimates that are</t>
  </si>
  <si>
    <t>withheld because the relative standard error is greater than 50 percent.</t>
  </si>
  <si>
    <t>Web Page:  For related information, see http://www.eia.doe.gov/emeu/mecs.</t>
  </si>
  <si>
    <r>
      <t>7</t>
    </r>
    <r>
      <rPr>
        <sz val="10"/>
        <rFont val="Arial"/>
        <family val="0"/>
      </rPr>
      <t>Excludes steam and hot water.</t>
    </r>
  </si>
  <si>
    <r>
      <t>2</t>
    </r>
    <r>
      <rPr>
        <sz val="10"/>
        <rFont val="Arial"/>
        <family val="0"/>
      </rPr>
      <t>Liquefied petroleum gases.</t>
    </r>
  </si>
  <si>
    <r>
      <t>3</t>
    </r>
    <r>
      <rPr>
        <sz val="10"/>
        <rFont val="Arial"/>
        <family val="0"/>
      </rPr>
      <t>Natural gas liquids.</t>
    </r>
  </si>
  <si>
    <t xml:space="preserve">  Electricity-Related Losses /a</t>
  </si>
  <si>
    <t>Electric Power /b</t>
  </si>
  <si>
    <r>
      <t>basis of reasonable approximations by respondents.  </t>
    </r>
    <r>
      <rPr>
        <sz val="10"/>
        <rFont val="Symbol"/>
        <family val="0"/>
      </rPr>
      <t>_  </t>
    </r>
    <r>
      <rPr>
        <sz val="10"/>
        <rFont val="Arial"/>
        <family val="0"/>
      </rPr>
      <t>Totals may not equal sum of components due to</t>
    </r>
  </si>
  <si>
    <r>
      <t>4</t>
    </r>
    <r>
      <rPr>
        <sz val="10"/>
        <rFont val="Arial"/>
        <family val="0"/>
      </rPr>
      <t>Excludes coal coke and breeze.</t>
    </r>
  </si>
  <si>
    <r>
      <t>5</t>
    </r>
    <r>
      <rPr>
        <sz val="10"/>
        <rFont val="Arial"/>
        <family val="0"/>
      </rPr>
      <t>Total of listed energy sources.  Excludes inputs of unallocated energy sources (6,006 trillion Btu).</t>
    </r>
  </si>
  <si>
    <r>
      <t>6</t>
    </r>
    <r>
      <rPr>
        <sz val="10"/>
        <rFont val="Arial"/>
        <family val="0"/>
      </rPr>
      <t>Combined-heat-and-power plants.</t>
    </r>
  </si>
  <si>
    <t>Million kWhs</t>
  </si>
  <si>
    <t>Billion CF</t>
  </si>
  <si>
    <t>Million Tons</t>
  </si>
  <si>
    <t>Million bbl</t>
  </si>
  <si>
    <t>Fraction</t>
  </si>
  <si>
    <t>electrifiable</t>
  </si>
  <si>
    <t>equal sum of components due to independent rounding.</t>
  </si>
  <si>
    <t>Web Page:  For related information, see http://www.eia.doe.gov/emeu/recs.</t>
  </si>
  <si>
    <r>
      <t>Space Heating </t>
    </r>
    <r>
      <rPr>
        <vertAlign val="superscript"/>
        <sz val="10"/>
        <rFont val="Arial"/>
        <family val="0"/>
      </rPr>
      <t>1</t>
    </r>
  </si>
  <si>
    <r>
      <t>Appliances </t>
    </r>
    <r>
      <rPr>
        <vertAlign val="superscript"/>
        <sz val="10"/>
        <rFont val="Arial"/>
        <family val="0"/>
      </rPr>
      <t>3,4</t>
    </r>
  </si>
  <si>
    <r>
      <t>Conditioning </t>
    </r>
    <r>
      <rPr>
        <vertAlign val="superscript"/>
        <sz val="10"/>
        <rFont val="Arial"/>
        <family val="0"/>
      </rPr>
      <t>2</t>
    </r>
  </si>
  <si>
    <r>
      <t>LPG </t>
    </r>
    <r>
      <rPr>
        <vertAlign val="superscript"/>
        <sz val="10"/>
        <rFont val="Arial"/>
        <family val="0"/>
      </rPr>
      <t>7</t>
    </r>
  </si>
  <si>
    <r>
      <t>Electricity </t>
    </r>
    <r>
      <rPr>
        <vertAlign val="superscript"/>
        <sz val="10"/>
        <rFont val="Arial"/>
        <family val="0"/>
      </rPr>
      <t>5</t>
    </r>
  </si>
  <si>
    <r>
      <t>Wood </t>
    </r>
    <r>
      <rPr>
        <vertAlign val="superscript"/>
        <sz val="10"/>
        <rFont val="Arial"/>
        <family val="0"/>
      </rPr>
      <t>8</t>
    </r>
  </si>
  <si>
    <r>
      <t>tricity </t>
    </r>
    <r>
      <rPr>
        <vertAlign val="superscript"/>
        <sz val="10"/>
        <rFont val="Arial"/>
        <family val="0"/>
      </rPr>
      <t>5</t>
    </r>
  </si>
  <si>
    <r>
      <t>Oil </t>
    </r>
    <r>
      <rPr>
        <vertAlign val="superscript"/>
        <sz val="10"/>
        <rFont val="Arial"/>
        <family val="0"/>
      </rPr>
      <t>6</t>
    </r>
  </si>
  <si>
    <r>
      <t>Gas </t>
    </r>
    <r>
      <rPr>
        <vertAlign val="superscript"/>
        <sz val="10"/>
        <rFont val="Arial"/>
        <family val="0"/>
      </rPr>
      <t>2</t>
    </r>
  </si>
  <si>
    <r>
      <t>Oil </t>
    </r>
    <r>
      <rPr>
        <vertAlign val="superscript"/>
        <sz val="10"/>
        <rFont val="Arial"/>
        <family val="0"/>
      </rPr>
      <t>4,6</t>
    </r>
  </si>
  <si>
    <r>
      <t>Consumption </t>
    </r>
    <r>
      <rPr>
        <sz val="10"/>
        <rFont val="Arial"/>
        <family val="0"/>
      </rPr>
      <t>(quadrillion Btu)</t>
    </r>
  </si>
  <si>
    <t>Ratio of mi/BTU-electric (outlet) for EVs to mi/BTU-gasoline ICEVs</t>
  </si>
  <si>
    <t>      Onsite Transportation</t>
  </si>
  <si>
    <t>      Conventional Electricity Generation</t>
  </si>
  <si>
    <t>Q</t>
  </si>
  <si>
    <t>      Other Non-Process Use</t>
  </si>
  <si>
    <t>End Use Not Reported</t>
  </si>
  <si>
    <t>Trillion Btu</t>
  </si>
  <si>
    <r>
      <t>2</t>
    </r>
    <r>
      <rPr>
        <sz val="10"/>
        <rFont val="Arial"/>
        <family val="0"/>
      </rPr>
      <t>A small amount of natural gas used for air conditioning is included in "Total Natural Gas."</t>
    </r>
  </si>
  <si>
    <r>
      <t>9</t>
    </r>
    <r>
      <rPr>
        <sz val="10"/>
        <rFont val="Arial"/>
        <family val="0"/>
      </rPr>
      <t>See "Nominal Dollars" in Glossary.</t>
    </r>
  </si>
  <si>
    <t>LH2 in vehicles is more efficient than gasoline; assume minor improvement in jet engines</t>
  </si>
  <si>
    <r>
      <t>Notes:  </t>
    </r>
    <r>
      <rPr>
        <sz val="10"/>
        <rFont val="Symbol"/>
        <family val="0"/>
      </rPr>
      <t>_  </t>
    </r>
    <r>
      <rPr>
        <sz val="10"/>
        <rFont val="Arial"/>
        <family val="0"/>
      </rPr>
      <t>Data are estimates for the total consumption of energy for the production of heat, power, and</t>
    </r>
  </si>
  <si>
    <r>
      <t>energy, or were extracted from captive (onsite) mines or wells.  </t>
    </r>
    <r>
      <rPr>
        <sz val="10"/>
        <rFont val="Symbol"/>
        <family val="0"/>
      </rPr>
      <t>_  </t>
    </r>
    <r>
      <rPr>
        <sz val="10"/>
        <rFont val="Arial"/>
        <family val="0"/>
      </rPr>
      <t>Allocations to end uses are made on the</t>
    </r>
  </si>
  <si>
    <t>Upstream factors-e</t>
  </si>
  <si>
    <t>      Electrochemical Processes</t>
  </si>
  <si>
    <t>      Other Process Uses</t>
  </si>
  <si>
    <t>   All Non-Process Uses</t>
  </si>
  <si>
    <t>      Facility Lighting</t>
  </si>
  <si>
    <t>      Other Facility Support</t>
  </si>
  <si>
    <t xml:space="preserve">  Electricity</t>
  </si>
  <si>
    <t>renewable energy sources, minus quantities sold and transferred out; it excludes onsite generation from</t>
  </si>
  <si>
    <t>combustible fuels.</t>
  </si>
  <si>
    <t>_ _ = Not applicable.  (s)=Estimate less than 0.5. Q=Withheld because relative standard error is greater</t>
  </si>
  <si>
    <t>than 50 percent.</t>
  </si>
  <si>
    <r>
      <t>3</t>
    </r>
    <r>
      <rPr>
        <sz val="10"/>
        <rFont val="Arial"/>
        <family val="0"/>
      </rPr>
      <t>Includes refrigerators.</t>
    </r>
  </si>
  <si>
    <r>
      <t>4</t>
    </r>
    <r>
      <rPr>
        <sz val="10"/>
        <rFont val="Arial"/>
        <family val="0"/>
      </rPr>
      <t>A small amount of distillate fuel oil and kerosene used for appliances is included in "Fuel Oil" under</t>
    </r>
  </si>
  <si>
    <r>
      <t>Notes:  </t>
    </r>
    <r>
      <rPr>
        <sz val="10"/>
        <rFont val="Symbol"/>
        <family val="0"/>
      </rPr>
      <t>_  </t>
    </r>
    <r>
      <rPr>
        <sz val="10"/>
        <rFont val="Arial"/>
        <family val="0"/>
      </rPr>
      <t>Data are estimates.  </t>
    </r>
    <r>
      <rPr>
        <sz val="10"/>
        <rFont val="Symbol"/>
        <family val="0"/>
      </rPr>
      <t>_  </t>
    </r>
    <r>
      <rPr>
        <sz val="10"/>
        <rFont val="Arial"/>
        <family val="0"/>
      </rPr>
      <t>For years not shown, there are no data available.  </t>
    </r>
    <r>
      <rPr>
        <sz val="10"/>
        <rFont val="Symbol"/>
        <family val="0"/>
      </rPr>
      <t>_  </t>
    </r>
    <r>
      <rPr>
        <sz val="10"/>
        <rFont val="Arial"/>
        <family val="0"/>
      </rPr>
      <t>Totals may not</t>
    </r>
  </si>
  <si>
    <r>
      <t>5</t>
    </r>
    <r>
      <rPr>
        <sz val="10"/>
        <rFont val="Arial"/>
        <family val="0"/>
      </rPr>
      <t>Retail electricity.  One kilowatthour=3,412 Btu.</t>
    </r>
  </si>
  <si>
    <r>
      <t>6</t>
    </r>
    <r>
      <rPr>
        <sz val="10"/>
        <rFont val="Arial"/>
        <family val="0"/>
      </rPr>
      <t>Distillate fuel oil and kerosene.</t>
    </r>
  </si>
  <si>
    <t>Diesel for transport in U. S., 2006</t>
  </si>
  <si>
    <t>Transport fuel use in U. S., 2006</t>
  </si>
  <si>
    <t>Source: IEA (2008) WEO data p. 464, 508</t>
  </si>
  <si>
    <t xml:space="preserve">  Renewables</t>
  </si>
  <si>
    <t xml:space="preserve">    Total</t>
  </si>
  <si>
    <t>Commercial</t>
  </si>
  <si>
    <t>Industrial</t>
  </si>
  <si>
    <t>Transportation</t>
  </si>
  <si>
    <t>All End-Use Sectors</t>
  </si>
  <si>
    <t xml:space="preserve">    Delivered Energy </t>
  </si>
  <si>
    <t xml:space="preserve">  Nuclear</t>
  </si>
  <si>
    <t>Total Energy Consumption</t>
  </si>
  <si>
    <t xml:space="preserve">  Liquids</t>
  </si>
  <si>
    <t>Air planes</t>
  </si>
  <si>
    <r>
      <t xml:space="preserve">Source: EIA </t>
    </r>
    <r>
      <rPr>
        <i/>
        <sz val="12"/>
        <rFont val="Arial"/>
        <family val="0"/>
      </rPr>
      <t xml:space="preserve"> Annual Energy Review 2007 </t>
    </r>
    <r>
      <rPr>
        <sz val="12"/>
        <rFont val="Arial"/>
        <family val="2"/>
      </rPr>
      <t>(2008).</t>
    </r>
  </si>
  <si>
    <t>Table F3.  Delivered Energy Consumption in the United States by End-Use Sector and Fuel, 2005-2030</t>
  </si>
  <si>
    <t>Multiplier for electricity requirements of H2 liquefaction for transportation, mainly air transport (include boil-off losses) (BTUs-electricity+H2/BTU-H2)</t>
  </si>
  <si>
    <r>
      <t>7</t>
    </r>
    <r>
      <rPr>
        <sz val="10"/>
        <rFont val="Arial"/>
        <family val="0"/>
      </rPr>
      <t>Liquefied petroleum gases.</t>
    </r>
  </si>
  <si>
    <t>Electrifiable, end use</t>
  </si>
  <si>
    <t>Electrifiable, by fuel</t>
  </si>
  <si>
    <t>NG</t>
  </si>
  <si>
    <t>Fuel oil</t>
  </si>
  <si>
    <t xml:space="preserve">         WORLD  -- TW</t>
  </si>
  <si>
    <t xml:space="preserve">          U. S.   -- TW</t>
  </si>
  <si>
    <t>Weighted average electrifiable fraction</t>
  </si>
  <si>
    <t>Liquids</t>
  </si>
  <si>
    <t>Natural gas</t>
  </si>
  <si>
    <t>Coal</t>
  </si>
  <si>
    <t>Year</t>
  </si>
  <si>
    <t>Air</t>
  </si>
  <si>
    <t>Water Heating</t>
  </si>
  <si>
    <t>Natural</t>
  </si>
  <si>
    <t>Elec-</t>
  </si>
  <si>
    <t>Fuel</t>
  </si>
  <si>
    <t>Gas</t>
  </si>
  <si>
    <t>NA</t>
  </si>
  <si>
    <t>NA=Not available.  </t>
  </si>
  <si>
    <t>"Total."</t>
  </si>
  <si>
    <t>Source:  Energy Information Administration, Form EIA-846, "2002 Manufacturing Energy Consumption</t>
  </si>
  <si>
    <t>Survey."</t>
  </si>
  <si>
    <r>
      <t xml:space="preserve">Source: EIA </t>
    </r>
    <r>
      <rPr>
        <i/>
        <sz val="10"/>
        <rFont val="Arial"/>
        <family val="0"/>
      </rPr>
      <t>Annual Energy Review 2007</t>
    </r>
    <r>
      <rPr>
        <sz val="10"/>
        <rFont val="Arial"/>
        <family val="0"/>
      </rPr>
      <t xml:space="preserve"> (2008).</t>
    </r>
  </si>
  <si>
    <r>
      <t>Net Electricity </t>
    </r>
    <r>
      <rPr>
        <vertAlign val="superscript"/>
        <sz val="10"/>
        <rFont val="Arial"/>
        <family val="0"/>
      </rPr>
      <t>1</t>
    </r>
  </si>
  <si>
    <r>
      <t>LPG </t>
    </r>
    <r>
      <rPr>
        <vertAlign val="superscript"/>
        <sz val="10"/>
        <rFont val="Arial"/>
        <family val="0"/>
      </rPr>
      <t>2</t>
    </r>
    <r>
      <rPr>
        <b/>
        <sz val="10"/>
        <rFont val="Arial"/>
        <family val="0"/>
      </rPr>
      <t> and NGL </t>
    </r>
    <r>
      <rPr>
        <vertAlign val="superscript"/>
        <sz val="10"/>
        <rFont val="Arial"/>
        <family val="0"/>
      </rPr>
      <t>3</t>
    </r>
  </si>
  <si>
    <t>Table F2.  Total OECD Delivered Energy Consumption by End-Use Sector and Fuel, 2005-2030</t>
  </si>
  <si>
    <t>Source: EIA (2008), AER table 5.14c</t>
  </si>
  <si>
    <t>Source: EIA (2008), AER table 5.15</t>
  </si>
  <si>
    <t>Fraction electrified</t>
  </si>
  <si>
    <t>e-H2: fuel ratio</t>
  </si>
  <si>
    <t>Multiplier to account for electricity requirements of H2 compression for transportation (10,000 psi) (BTUs-electricity+H2/BTU-H2)</t>
  </si>
  <si>
    <t>AVCEM (Delucchi, 2005)</t>
  </si>
  <si>
    <t>Ratio of mi/BTU for HFCVs to mi/BTU ICEVs</t>
  </si>
  <si>
    <t>Energy share percentages -- World</t>
  </si>
  <si>
    <r>
      <t>Coal </t>
    </r>
    <r>
      <rPr>
        <vertAlign val="superscript"/>
        <sz val="10"/>
        <rFont val="Arial"/>
        <family val="0"/>
      </rPr>
      <t>4</t>
    </r>
  </si>
  <si>
    <r>
      <t>Total </t>
    </r>
    <r>
      <rPr>
        <vertAlign val="superscript"/>
        <sz val="10"/>
        <rFont val="Arial"/>
        <family val="0"/>
      </rPr>
      <t>5</t>
    </r>
  </si>
  <si>
    <r>
      <t>Indirect End Use </t>
    </r>
    <r>
      <rPr>
        <sz val="10"/>
        <rFont val="Arial"/>
        <family val="0"/>
      </rPr>
      <t>(Boiler Fuel)</t>
    </r>
  </si>
  <si>
    <r>
      <t>      CHP </t>
    </r>
    <r>
      <rPr>
        <vertAlign val="superscript"/>
        <sz val="10"/>
        <rFont val="Arial"/>
        <family val="0"/>
      </rPr>
      <t>6</t>
    </r>
    <r>
      <rPr>
        <sz val="10"/>
        <rFont val="Arial"/>
        <family val="0"/>
      </rPr>
      <t> and/or Cogeneration Process</t>
    </r>
  </si>
  <si>
    <r>
      <t>      Facility Heating, Ventilation, and Air Conditioning </t>
    </r>
    <r>
      <rPr>
        <vertAlign val="superscript"/>
        <sz val="10"/>
        <rFont val="Arial"/>
        <family val="0"/>
      </rPr>
      <t>7</t>
    </r>
  </si>
  <si>
    <r>
      <t>      CHP </t>
    </r>
    <r>
      <rPr>
        <vertAlign val="superscript"/>
        <sz val="10"/>
        <rFont val="Arial"/>
        <family val="0"/>
      </rPr>
      <t>6</t>
    </r>
    <r>
      <rPr>
        <sz val="10"/>
        <rFont val="Arial"/>
        <family val="0"/>
      </rPr>
      <t> and/or Cogeneration Process </t>
    </r>
  </si>
  <si>
    <r>
      <t>1</t>
    </r>
    <r>
      <rPr>
        <sz val="10"/>
        <rFont val="Arial"/>
        <family val="0"/>
      </rPr>
      <t>"Net Electricity" is the sum of purchases, transfers in, and onsite generation from noncombustible</t>
    </r>
  </si>
  <si>
    <t>Railroad</t>
  </si>
  <si>
    <t>Vessel</t>
  </si>
  <si>
    <t>On-highway</t>
  </si>
  <si>
    <t>Total all end use sectors</t>
  </si>
  <si>
    <t>Off-highway</t>
  </si>
  <si>
    <t>Military</t>
  </si>
  <si>
    <t>million gal</t>
  </si>
  <si>
    <t>Total</t>
  </si>
  <si>
    <t>Off-road diesel</t>
  </si>
  <si>
    <t>Trillion BTU</t>
  </si>
  <si>
    <t xml:space="preserve"> = user inputs</t>
  </si>
  <si>
    <t xml:space="preserve"> = key results</t>
  </si>
  <si>
    <t xml:space="preserve"> = key user inputs</t>
  </si>
  <si>
    <t>Table 2.5  Household Energy Consumption and Expenditures by End Use and Energy Source, Selected Years, 1978-2001</t>
  </si>
  <si>
    <t xml:space="preserve">Sources: 2005: Derived from Energy Information Administration (EIA), International Energy Annual 2005 (June-October 2007), web site </t>
  </si>
  <si>
    <t>a/ Electricity losses incurred in the transmission and distribution of electric power. May include some heat production.</t>
  </si>
  <si>
    <t>b/ Fuel inputs used in the production of electricity and heat at central-station generators.</t>
  </si>
  <si>
    <t xml:space="preserve">www.eia.doe.gov/iea. Projections: EIA, Annual Energy Outlook 2008, DOE/EIA-0383(2008) (Washington, DC, June 2008), AEO2008 </t>
  </si>
  <si>
    <t>Table 2.3  Manufacturing Energy Consumption for Heat, Power, and Electricity Generation by End Use, 2002</t>
  </si>
  <si>
    <t>End-Use Category</t>
  </si>
  <si>
    <t>Residual Fuel Oil</t>
  </si>
  <si>
    <t>Distillate Fuel Oil</t>
  </si>
  <si>
    <t>Natural Gas </t>
  </si>
  <si>
    <t>– –</t>
  </si>
  <si>
    <t>      Conventional Boiler Use</t>
  </si>
  <si>
    <t>(s)</t>
  </si>
  <si>
    <t>Direct End Use</t>
  </si>
  <si>
    <t>   All Process Uses</t>
  </si>
  <si>
    <t>      Process Heating </t>
  </si>
  <si>
    <t>      Process Cooling and Refrigeration</t>
  </si>
  <si>
    <t>      Machine Drive</t>
  </si>
  <si>
    <t>DC, September 2007).  2007 refining consumption based on:  Petroleum Supply Annual 2007, DOE/EIA-0340(2007)/1 (Washington, DC, July 2008).  Other 2006 and 2007</t>
  </si>
  <si>
    <t>National Energy Modeling System, run AEO2008.D031608A, web site www.eia.doe.gov/oiaf/aeo; and World Energy Projection System (2008).</t>
  </si>
  <si>
    <t>International Energy Outlook 2008</t>
  </si>
  <si>
    <t>Report #: DOE/EIA-0484(2008)</t>
  </si>
  <si>
    <t>Release Date: June 2008</t>
  </si>
  <si>
    <t>Next Release Date: June 2009</t>
  </si>
  <si>
    <t>(full report available July 2008)</t>
  </si>
  <si>
    <t>Electricity: fuel ratio</t>
  </si>
  <si>
    <t xml:space="preserve">         TW year 2030</t>
  </si>
  <si>
    <t>World</t>
  </si>
  <si>
    <t>U.S.</t>
  </si>
  <si>
    <t>Road</t>
  </si>
  <si>
    <t>Aviation</t>
  </si>
  <si>
    <t>Other</t>
  </si>
  <si>
    <t xml:space="preserve"> % share</t>
  </si>
  <si>
    <t>Marine</t>
  </si>
  <si>
    <t>(Quadrillion Btu)</t>
  </si>
  <si>
    <t>Projections</t>
  </si>
  <si>
    <t>—</t>
  </si>
  <si>
    <t>Sector/Fuel</t>
  </si>
  <si>
    <t>Residential</t>
  </si>
  <si>
    <t xml:space="preserve">  Natural Gas</t>
  </si>
  <si>
    <t xml:space="preserve">  Coal</t>
  </si>
  <si>
    <t xml:space="preserve">   Residual Fuel Oil</t>
  </si>
  <si>
    <t xml:space="preserve">   Petroleum Coke</t>
  </si>
  <si>
    <t xml:space="preserve">   Still Gas</t>
  </si>
  <si>
    <t xml:space="preserve">   Miscellaneous Petroleum 2/</t>
  </si>
  <si>
    <t xml:space="preserve">     Petroleum Subtotal</t>
  </si>
  <si>
    <t xml:space="preserve">   Natural Gas Heat and Power</t>
  </si>
  <si>
    <t xml:space="preserve">   Natural-Gas-to-Liquids Heat and Power</t>
  </si>
  <si>
    <t xml:space="preserve">     Natural Gas Subtotal</t>
  </si>
  <si>
    <t xml:space="preserve">   Other Industrial Coal</t>
  </si>
  <si>
    <t xml:space="preserve">   Coal-to-Liquids Heat and Power</t>
  </si>
  <si>
    <t xml:space="preserve">     Coal Subtotal</t>
  </si>
  <si>
    <t xml:space="preserve">   Biofuels Heat and Coproducts</t>
  </si>
  <si>
    <t>electricity generation, regardless of where the energy was produced.  Specifically, the estimates include the</t>
  </si>
  <si>
    <t>quantities of energy that were originally produced offsite and purchased by or transferred to the</t>
  </si>
  <si>
    <t>establishment, plus those that were produced onsite from other energy or input materials not classified as</t>
  </si>
  <si>
    <t xml:space="preserve">   Lease and Plant Fuel 3/</t>
  </si>
  <si>
    <t xml:space="preserve">   Metallurgical Coal and Coke 4/</t>
  </si>
  <si>
    <t xml:space="preserve">   Renewables 5/</t>
  </si>
  <si>
    <t xml:space="preserve">   1/ Includes energy for combined heat and power plants, except those whose primary business is to sell electricity, or electricity and heat, to the public.</t>
  </si>
  <si>
    <t xml:space="preserve">   2/ Includes lubricants and miscellaneous petroleum products.</t>
  </si>
  <si>
    <t xml:space="preserve">   3/ Represents natural gas used in well, field, and lease operations, and in natural gas processing plant machinery.</t>
  </si>
  <si>
    <t>Table F1.  Total World Delivered Energy Consumption by End-Use Sector and Fuel, 2005-2030</t>
  </si>
  <si>
    <t>Average Annual Percent Change, 2005-2030</t>
  </si>
  <si>
    <t>Coal energy in oil refining as a fraction of total coal use in industrial sector</t>
  </si>
  <si>
    <t>Petroleum energy in oil refining as a fraction of total petroleum use in industrial sector</t>
  </si>
  <si>
    <t>NG energy in oil refining as a fraction of total NG use in industrial sector</t>
  </si>
  <si>
    <t>Electricity  in oil refining as a fraction of total electricity use in industrial sector</t>
  </si>
  <si>
    <t xml:space="preserve">   4/ Includes net coal coke imports.</t>
  </si>
  <si>
    <t>Source</t>
  </si>
  <si>
    <t>Assume hydrogen same as fossil fuel</t>
  </si>
  <si>
    <t>Efficiency of fossil-fuel heating (BTUs-work/BTUs-input-energy)</t>
  </si>
  <si>
    <t>Efficiency of electric resistance heating (BTUs-work/BTUs-input-energy)</t>
  </si>
  <si>
    <t>LEM documentation (Delucchi, 2003)</t>
  </si>
  <si>
    <t>Efficiency of hydrogen heating (BTUs-work/BTUs-input-energy)</t>
  </si>
  <si>
    <t>Efficiency of electrolytic hydrogen production on site (BTUs-H2/BTUs-electricity)</t>
  </si>
  <si>
    <t>AVCEM, LEM Documentation (Delucchi, 2003,2005)</t>
  </si>
  <si>
    <t xml:space="preserve">   Note:  Totals may not equal sum of components due to independent rounding.  Data for 2006 and 2007 are model results and may differ slightly from official EIA data reports.</t>
  </si>
  <si>
    <t xml:space="preserve">   Sources:  2006 and 2007 prices for motor gasoline and distillate fuel oil are based on:  Energy Information Administration (EIA), Petroleum Marketing Annual 2007,</t>
  </si>
  <si>
    <t>Aviation gas</t>
  </si>
  <si>
    <t>Motor gas</t>
  </si>
  <si>
    <t>Jet fuel</t>
  </si>
  <si>
    <t>Residual fuel</t>
  </si>
  <si>
    <t>Lubricants</t>
  </si>
  <si>
    <t>LPG</t>
  </si>
  <si>
    <t>Diesel</t>
  </si>
  <si>
    <t>DOE/EIA-0121(2007/4Q) (Washington, DC, March 2008) and EIA, AEO2009 National Energy Modeling System run nostimls.d041409a.  2006 and 2007 electricity prices:</t>
  </si>
  <si>
    <t>Annual Energy Review 2007, DOE/EIA-0384(2007) (Washington, DC, June 2008).  2006 and 2007 natural gas prices are based on:  EIA, Manufacturing Energy Consumption</t>
  </si>
  <si>
    <t>Survey 1994 and industrial and wellhead prices from the Natural Gas Annual 2006, DOE/EIA-0131(2006) (Washington, DC, October, 2007) and the Natural Gas Monthly,</t>
  </si>
  <si>
    <t>DOE/EIA-0130(2008/04) (Washington, DC, April 2008).  2006 refining consumption values based on:  Petroleum Supply Annual 2006, DOE/EIA-0340(2006)/1 (Washington,</t>
  </si>
  <si>
    <t xml:space="preserve">   5/ Includes consumption of energy produced from hydroelectric, wood and wood waste, municipal waste, and other biomass sources.</t>
  </si>
  <si>
    <t xml:space="preserve">   6/ Includes energy consumed by petroleum, coal to liquids, and natural gas to liquids, and biofuel refiners.  Excludes hydrogen production at refiners which is included in</t>
  </si>
  <si>
    <t>Industrial Consumption.</t>
  </si>
  <si>
    <t xml:space="preserve">   Btu = British thermal unit.</t>
  </si>
  <si>
    <t xml:space="preserve">   - - = Not applicable.</t>
  </si>
  <si>
    <t>---- BASE CASE PROJECTIONS FROM EIA ---</t>
  </si>
  <si>
    <t>Report:  An Updated Annual Energy Outlook 2009 Reference Case Reflecting Provisions of the American Recovery and Reinvestment Act and Recent Changes in the Economic Outlook</t>
  </si>
  <si>
    <t>SR/OIAF/2009-03</t>
  </si>
  <si>
    <t>Scenario:</t>
  </si>
  <si>
    <t>stimulus</t>
  </si>
  <si>
    <t>d041409a</t>
  </si>
  <si>
    <t xml:space="preserve"> Table   6.  Industrial Sector Key Indicators and Consumption</t>
  </si>
  <si>
    <t xml:space="preserve"> Refining Consumption 6/</t>
  </si>
  <si>
    <t xml:space="preserve">   Liquefied Petroleum Gases Heat and Power</t>
  </si>
  <si>
    <t xml:space="preserve">   Distillate Fuel Oil</t>
  </si>
  <si>
    <t>DOE/EIA-0487(2007) (Washington, DC, August 2008).  2006 and 2007 petrochemical feedstock and asphalt and road oil prices are based on:  EIA, State Energy Data</t>
  </si>
  <si>
    <t>Report 2006, DOE/EIA-0214(2006) (Washington, DC, October 2008).  2006 and 2007 coal prices are based on:  EIA, Quarterly Coal Report, October-December 2007,</t>
  </si>
  <si>
    <t xml:space="preserve">   Purchased Electricity</t>
  </si>
  <si>
    <t xml:space="preserve">     Delivered Energy</t>
  </si>
  <si>
    <t xml:space="preserve">   Electricity Related Losses</t>
  </si>
  <si>
    <t xml:space="preserve">     Total</t>
  </si>
  <si>
    <t>Refining consumption as a percent of total industrial sector consumption</t>
  </si>
  <si>
    <t xml:space="preserve"> Total Industrial Sector Consumption</t>
  </si>
  <si>
    <t xml:space="preserve">   Liquefied Petroleum Gases Feedstocks</t>
  </si>
  <si>
    <t xml:space="preserve">   Motor Gasoline</t>
  </si>
  <si>
    <t xml:space="preserve">   Petrochemical Feedstocks</t>
  </si>
  <si>
    <t xml:space="preserve">   Asphalt and Road Oil</t>
  </si>
  <si>
    <t xml:space="preserve">   Natural Gas Feedstocks</t>
  </si>
  <si>
    <t>consumption values are based on:  EIA, Annual Energy Review 2007, DOE/EIA-0384(2007) (Washington, DC, June 2008).  2006 and 2007 shipments:  IHS Global Insight</t>
  </si>
  <si>
    <t>Industry model, November 2008.  Projections:  EIA, AEO2009 National Energy Modeling System run stimulus.d041409a.</t>
  </si>
  <si>
    <t>End use factor</t>
  </si>
  <si>
    <t>Value 2030</t>
  </si>
  <si>
    <t>Upstream factor = ratio of energy use in WWS world to ratio of energy use in base-case fossil-fuel world</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</si>
</sst>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
    <numFmt numFmtId="167" formatCode="_(* #,##0_);_(* \(#,##0\);_(* &quot;-&quot;??_);_(@_)"/>
    <numFmt numFmtId="168" formatCode="0.00000000"/>
    <numFmt numFmtId="169" formatCode="0.0000000"/>
    <numFmt numFmtId="170" formatCode="0.000000"/>
    <numFmt numFmtId="171" formatCode="0.00000"/>
    <numFmt numFmtId="172" formatCode="0.0000"/>
    <numFmt numFmtId="173" formatCode="0.000"/>
    <numFmt numFmtId="174" formatCode="0.000000000000000%"/>
    <numFmt numFmtId="175" formatCode="0.00_)"/>
    <numFmt numFmtId="176" formatCode="0.0%"/>
    <numFmt numFmtId="177" formatCode="_(* #,##0.000_);_(* \(#,##0.000\);_(* &quot;-&quot;??_);_(@_)"/>
    <numFmt numFmtId="178" formatCode="&quot;$&quot;#,##0.000_);[Red]\(&quot;$&quot;#,##0.000\)"/>
    <numFmt numFmtId="179" formatCode="&quot;$&quot;#,##0.0000_);[Red]\(&quot;$&quot;#,##0.0000\)"/>
    <numFmt numFmtId="180" formatCode="&quot;$&quot;#,##0.00"/>
    <numFmt numFmtId="181" formatCode="&quot;$&quot;#,##0.0"/>
    <numFmt numFmtId="182" formatCode="&quot;$&quot;#,##0.000"/>
    <numFmt numFmtId="183" formatCode="0.000000000"/>
    <numFmt numFmtId="184" formatCode="0.0000000000"/>
    <numFmt numFmtId="185" formatCode="_(* #,##0.0000_);_(* \(#,##0.0000\);_(* &quot;-&quot;??_);_(@_)"/>
    <numFmt numFmtId="186" formatCode="_(* #,##0.00000_);_(* \(#,##0.00000\);_(* &quot;-&quot;??_);_(@_)"/>
    <numFmt numFmtId="187" formatCode="_(* #,##0.0_);_(* \(#,##0.0\);_(* &quot;-&quot;?_);_(@_)"/>
    <numFmt numFmtId="188" formatCode="_(* #,##0.0000_);_(* \(#,##0.0000\);_(* &quot;-&quot;????_);_(@_)"/>
    <numFmt numFmtId="189" formatCode="&quot;$&quot;#,##0.00000_);[Red]\(&quot;$&quot;#,##0.00000\)"/>
    <numFmt numFmtId="190" formatCode="&quot;$&quot;#,##0.000000_);[Red]\(&quot;$&quot;#,##0.000000\)"/>
    <numFmt numFmtId="191" formatCode="&quot;$&quot;#,##0.0000000_);[Red]\(&quot;$&quot;#,##0.0000000\)"/>
    <numFmt numFmtId="192" formatCode="&quot;$&quot;#,##0.00000000_);[Red]\(&quot;$&quot;#,##0.00000000\)"/>
    <numFmt numFmtId="193" formatCode="_(* #,##0.000_);_(* \(#,##0.000\);_(* &quot;-&quot;???_);_(@_)"/>
    <numFmt numFmtId="194" formatCode="_(* #,##0.000000_);_(* \(#,##0.000000\);_(* &quot;-&quot;??_);_(@_)"/>
    <numFmt numFmtId="195" formatCode="0.000%"/>
    <numFmt numFmtId="196" formatCode="0.0000%"/>
    <numFmt numFmtId="197" formatCode="_(* #,##0.0000000_);_(* \(#,##0.0000000\);_(* &quot;-&quot;??_);_(@_)"/>
    <numFmt numFmtId="198" formatCode="&quot;$&quot;#,##0.0_);[Red]\(&quot;$&quot;#,##0.0\)"/>
    <numFmt numFmtId="199" formatCode="_(&quot;$&quot;* #,##0.0_);_(&quot;$&quot;* \(#,##0.0\);_(&quot;$&quot;* &quot;-&quot;??_);_(@_)"/>
    <numFmt numFmtId="200" formatCode="_(&quot;$&quot;* #,##0_);_(&quot;$&quot;* \(#,##0\);_(&quot;$&quot;* &quot;-&quot;??_);_(@_)"/>
    <numFmt numFmtId="201" formatCode="&quot;$&quot;#,##0"/>
    <numFmt numFmtId="202" formatCode="0.000000%"/>
    <numFmt numFmtId="203" formatCode="0.00000%"/>
    <numFmt numFmtId="204" formatCode="#,##0.000"/>
  </numFmts>
  <fonts count="33">
    <font>
      <sz val="10"/>
      <name val="Arial"/>
      <family val="0"/>
    </font>
    <font>
      <sz val="8"/>
      <name val="Arial"/>
      <family val="0"/>
    </font>
    <font>
      <b/>
      <sz val="10"/>
      <name val="Arial"/>
      <family val="0"/>
    </font>
    <font>
      <u val="single"/>
      <sz val="7.5"/>
      <color indexed="12"/>
      <name val="Arial"/>
      <family val="0"/>
    </font>
    <font>
      <u val="single"/>
      <sz val="15"/>
      <color indexed="61"/>
      <name val="Arial"/>
      <family val="0"/>
    </font>
    <font>
      <i/>
      <sz val="10"/>
      <name val="Arial"/>
      <family val="0"/>
    </font>
    <font>
      <b/>
      <sz val="12"/>
      <name val="Arial"/>
      <family val="2"/>
    </font>
    <font>
      <sz val="8"/>
      <name val="Verdana"/>
      <family val="0"/>
    </font>
    <font>
      <sz val="10"/>
      <name val="Times"/>
      <family val="0"/>
    </font>
    <font>
      <b/>
      <sz val="10"/>
      <name val="Times"/>
      <family val="0"/>
    </font>
    <font>
      <vertAlign val="superscript"/>
      <sz val="10"/>
      <name val="Arial"/>
      <family val="0"/>
    </font>
    <font>
      <sz val="10"/>
      <name val="Symbol"/>
      <family val="0"/>
    </font>
    <font>
      <sz val="12"/>
      <name val="Arial"/>
      <family val="2"/>
    </font>
    <font>
      <i/>
      <sz val="12"/>
      <name val="Arial"/>
      <family val="0"/>
    </font>
    <font>
      <sz val="8"/>
      <name val="Geneva"/>
      <family val="0"/>
    </font>
    <font>
      <b/>
      <sz val="12"/>
      <name val="Helv"/>
      <family val="0"/>
    </font>
    <font>
      <sz val="10"/>
      <name val="Verdana"/>
      <family val="0"/>
    </font>
    <font>
      <u val="single"/>
      <sz val="10"/>
      <color indexed="61"/>
      <name val="Verdana"/>
      <family val="0"/>
    </font>
    <font>
      <u val="single"/>
      <sz val="10"/>
      <color indexed="12"/>
      <name val="Verdana"/>
      <family val="0"/>
    </font>
    <font>
      <b/>
      <i/>
      <sz val="14"/>
      <name val="Verdana"/>
      <family val="0"/>
    </font>
    <font>
      <b/>
      <sz val="14"/>
      <name val="Verdana"/>
      <family val="0"/>
    </font>
    <font>
      <b/>
      <sz val="10"/>
      <name val="Verdana"/>
      <family val="0"/>
    </font>
    <font>
      <i/>
      <sz val="10"/>
      <name val="Verdana"/>
      <family val="0"/>
    </font>
    <font>
      <u val="single"/>
      <sz val="10"/>
      <name val="Verdana"/>
      <family val="0"/>
    </font>
    <font>
      <i/>
      <sz val="12"/>
      <name val="Verdana"/>
      <family val="0"/>
    </font>
    <font>
      <sz val="12"/>
      <name val="Verdana"/>
      <family val="0"/>
    </font>
    <font>
      <b/>
      <sz val="12"/>
      <name val="Verdana"/>
      <family val="0"/>
    </font>
    <font>
      <b/>
      <sz val="9"/>
      <name val="Verdana"/>
      <family val="0"/>
    </font>
    <font>
      <sz val="9"/>
      <name val="Verdana"/>
      <family val="0"/>
    </font>
    <font>
      <u val="single"/>
      <sz val="12"/>
      <name val="Verdana"/>
      <family val="0"/>
    </font>
    <font>
      <b/>
      <i/>
      <sz val="10"/>
      <name val="Verdana"/>
      <family val="0"/>
    </font>
    <font>
      <b/>
      <sz val="12"/>
      <color indexed="8"/>
      <name val="Verdana"/>
      <family val="0"/>
    </font>
    <font>
      <b/>
      <sz val="8"/>
      <name val="Arial"/>
      <family val="2"/>
    </font>
  </fonts>
  <fills count="10">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s>
  <borders count="4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487">
    <xf numFmtId="0" fontId="0" fillId="0" borderId="0" xfId="0" applyAlignment="1">
      <alignment/>
    </xf>
    <xf numFmtId="0" fontId="2" fillId="0" borderId="0" xfId="0" applyFont="1" applyAlignment="1">
      <alignment/>
    </xf>
    <xf numFmtId="166" fontId="2" fillId="0" borderId="0" xfId="15" applyNumberFormat="1" applyFont="1" applyAlignment="1">
      <alignment/>
    </xf>
    <xf numFmtId="166" fontId="0" fillId="0" borderId="0" xfId="15" applyNumberFormat="1" applyAlignment="1">
      <alignment/>
    </xf>
    <xf numFmtId="0" fontId="0" fillId="0" borderId="0" xfId="0" applyFont="1" applyAlignment="1">
      <alignment/>
    </xf>
    <xf numFmtId="166" fontId="0" fillId="0" borderId="0" xfId="15" applyNumberFormat="1" applyFont="1" applyAlignment="1">
      <alignment/>
    </xf>
    <xf numFmtId="166" fontId="0" fillId="0" borderId="0" xfId="0" applyNumberFormat="1" applyAlignment="1">
      <alignment/>
    </xf>
    <xf numFmtId="166" fontId="2" fillId="0" borderId="0" xfId="0" applyNumberFormat="1" applyFont="1" applyAlignment="1">
      <alignment/>
    </xf>
    <xf numFmtId="166" fontId="0" fillId="0" borderId="0" xfId="15" applyNumberFormat="1" applyAlignment="1">
      <alignment/>
    </xf>
    <xf numFmtId="166" fontId="0" fillId="0" borderId="0" xfId="0" applyNumberFormat="1" applyAlignment="1">
      <alignment horizontal="right"/>
    </xf>
    <xf numFmtId="0" fontId="2" fillId="0" borderId="0" xfId="0" applyFont="1" applyAlignment="1">
      <alignment wrapText="1"/>
    </xf>
    <xf numFmtId="0" fontId="0" fillId="0" borderId="0" xfId="0" applyAlignment="1">
      <alignment wrapText="1"/>
    </xf>
    <xf numFmtId="43" fontId="2" fillId="0" borderId="0" xfId="0" applyNumberFormat="1" applyFont="1" applyAlignment="1">
      <alignment/>
    </xf>
    <xf numFmtId="0" fontId="5" fillId="0" borderId="0" xfId="0" applyFont="1" applyAlignment="1">
      <alignment/>
    </xf>
    <xf numFmtId="0" fontId="9" fillId="0" borderId="1" xfId="0" applyFont="1" applyBorder="1" applyAlignment="1">
      <alignment horizontal="center" vertical="center" wrapText="1"/>
    </xf>
    <xf numFmtId="0" fontId="0" fillId="0" borderId="0" xfId="0" applyBorder="1" applyAlignment="1">
      <alignment/>
    </xf>
    <xf numFmtId="0" fontId="2" fillId="0" borderId="2"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0" fillId="0" borderId="1" xfId="0" applyFont="1" applyBorder="1" applyAlignment="1">
      <alignment horizontal="center" wrapText="1"/>
    </xf>
    <xf numFmtId="0" fontId="2" fillId="0" borderId="1" xfId="0" applyFont="1" applyBorder="1" applyAlignment="1">
      <alignment horizontal="left" wrapText="1"/>
    </xf>
    <xf numFmtId="3" fontId="2" fillId="0" borderId="1" xfId="0" applyNumberFormat="1" applyFont="1" applyBorder="1" applyAlignment="1">
      <alignment horizontal="right" wrapText="1"/>
    </xf>
    <xf numFmtId="0" fontId="2" fillId="0" borderId="1" xfId="0" applyFont="1" applyBorder="1" applyAlignment="1">
      <alignment horizontal="right" wrapText="1"/>
    </xf>
    <xf numFmtId="0" fontId="0" fillId="0" borderId="1" xfId="0" applyFont="1" applyBorder="1" applyAlignment="1">
      <alignment horizontal="left" wrapText="1"/>
    </xf>
    <xf numFmtId="3" fontId="0" fillId="0" borderId="1" xfId="0" applyNumberFormat="1" applyFont="1" applyBorder="1" applyAlignment="1">
      <alignment horizontal="right" wrapText="1"/>
    </xf>
    <xf numFmtId="0" fontId="0" fillId="0" borderId="1" xfId="0" applyFont="1" applyBorder="1" applyAlignment="1">
      <alignment horizontal="right" wrapText="1"/>
    </xf>
    <xf numFmtId="0" fontId="0" fillId="2" borderId="1" xfId="0" applyFont="1" applyFill="1" applyBorder="1" applyAlignment="1">
      <alignment horizontal="left" wrapText="1"/>
    </xf>
    <xf numFmtId="3" fontId="0" fillId="2" borderId="1" xfId="0" applyNumberFormat="1" applyFont="1" applyFill="1" applyBorder="1" applyAlignment="1">
      <alignment horizontal="right" wrapText="1"/>
    </xf>
    <xf numFmtId="0" fontId="0" fillId="2" borderId="1" xfId="0" applyFont="1" applyFill="1" applyBorder="1" applyAlignment="1">
      <alignment horizontal="right" wrapText="1"/>
    </xf>
    <xf numFmtId="0" fontId="0" fillId="0" borderId="2" xfId="0" applyFont="1" applyBorder="1" applyAlignment="1">
      <alignment horizontal="left" wrapText="1"/>
    </xf>
    <xf numFmtId="0" fontId="0" fillId="0" borderId="0" xfId="0" applyFont="1" applyAlignment="1">
      <alignment/>
    </xf>
    <xf numFmtId="0" fontId="2" fillId="0" borderId="3" xfId="0" applyFont="1" applyBorder="1" applyAlignment="1">
      <alignment horizontal="left" wrapText="1"/>
    </xf>
    <xf numFmtId="3" fontId="0" fillId="0" borderId="4" xfId="0" applyNumberFormat="1" applyFont="1" applyBorder="1" applyAlignment="1">
      <alignment horizontal="right" wrapText="1"/>
    </xf>
    <xf numFmtId="0" fontId="0" fillId="0" borderId="0" xfId="0" applyFont="1" applyBorder="1" applyAlignment="1">
      <alignment/>
    </xf>
    <xf numFmtId="3" fontId="0" fillId="2" borderId="4" xfId="0" applyNumberFormat="1" applyFont="1" applyFill="1" applyBorder="1" applyAlignment="1">
      <alignment horizontal="right" wrapText="1"/>
    </xf>
    <xf numFmtId="0" fontId="0" fillId="0" borderId="0" xfId="0" applyFont="1" applyBorder="1" applyAlignment="1">
      <alignment/>
    </xf>
    <xf numFmtId="3" fontId="2" fillId="0" borderId="4" xfId="0" applyNumberFormat="1" applyFont="1" applyBorder="1" applyAlignment="1">
      <alignment horizontal="right" wrapText="1"/>
    </xf>
    <xf numFmtId="0" fontId="0" fillId="2" borderId="4" xfId="0" applyFont="1" applyFill="1" applyBorder="1" applyAlignment="1">
      <alignment horizontal="right" wrapText="1"/>
    </xf>
    <xf numFmtId="0" fontId="0" fillId="0" borderId="4" xfId="0" applyFont="1" applyBorder="1" applyAlignment="1">
      <alignment horizontal="right" wrapText="1"/>
    </xf>
    <xf numFmtId="2" fontId="0" fillId="0" borderId="0" xfId="0" applyNumberFormat="1" applyFont="1" applyFill="1" applyBorder="1" applyAlignment="1">
      <alignment horizontal="right" wrapText="1"/>
    </xf>
    <xf numFmtId="0" fontId="0" fillId="0" borderId="0" xfId="0" applyAlignment="1">
      <alignment horizontal="right"/>
    </xf>
    <xf numFmtId="9" fontId="0" fillId="0" borderId="0" xfId="24" applyAlignment="1">
      <alignment horizontal="right"/>
    </xf>
    <xf numFmtId="0" fontId="2" fillId="0" borderId="0" xfId="0" applyFont="1" applyAlignment="1">
      <alignment horizontal="right"/>
    </xf>
    <xf numFmtId="167" fontId="0" fillId="0" borderId="0" xfId="15" applyNumberFormat="1" applyAlignment="1">
      <alignment horizontal="right"/>
    </xf>
    <xf numFmtId="167" fontId="2" fillId="0" borderId="0" xfId="0" applyNumberFormat="1" applyFont="1" applyAlignment="1">
      <alignment horizontal="right"/>
    </xf>
    <xf numFmtId="167" fontId="2" fillId="0" borderId="0" xfId="15" applyNumberFormat="1" applyFont="1" applyAlignment="1">
      <alignment horizontal="right"/>
    </xf>
    <xf numFmtId="0" fontId="5" fillId="0" borderId="0" xfId="0" applyFont="1" applyAlignment="1">
      <alignment horizontal="right"/>
    </xf>
    <xf numFmtId="2" fontId="0" fillId="3" borderId="0" xfId="0" applyNumberFormat="1" applyFill="1" applyAlignment="1">
      <alignment/>
    </xf>
    <xf numFmtId="2" fontId="0" fillId="4" borderId="0" xfId="0" applyNumberFormat="1" applyFont="1" applyFill="1" applyBorder="1" applyAlignment="1">
      <alignment horizontal="right" wrapText="1"/>
    </xf>
    <xf numFmtId="0" fontId="2" fillId="0" borderId="5" xfId="0" applyFont="1" applyBorder="1" applyAlignment="1">
      <alignment/>
    </xf>
    <xf numFmtId="0" fontId="2" fillId="0" borderId="6" xfId="0" applyFont="1" applyBorder="1" applyAlignment="1">
      <alignment/>
    </xf>
    <xf numFmtId="2" fontId="0" fillId="4" borderId="6" xfId="0" applyNumberFormat="1" applyFont="1" applyFill="1" applyBorder="1" applyAlignment="1">
      <alignment horizontal="right" wrapText="1"/>
    </xf>
    <xf numFmtId="2" fontId="0" fillId="4" borderId="6" xfId="0" applyNumberFormat="1" applyFont="1" applyFill="1" applyBorder="1" applyAlignment="1">
      <alignment/>
    </xf>
    <xf numFmtId="2" fontId="0" fillId="4" borderId="6" xfId="0" applyNumberFormat="1" applyFont="1" applyFill="1" applyBorder="1" applyAlignment="1">
      <alignment/>
    </xf>
    <xf numFmtId="2" fontId="0" fillId="4" borderId="7" xfId="0" applyNumberFormat="1" applyFont="1" applyFill="1" applyBorder="1" applyAlignment="1">
      <alignment horizontal="right" wrapText="1"/>
    </xf>
    <xf numFmtId="0" fontId="2"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horizontal="right"/>
    </xf>
    <xf numFmtId="0" fontId="0" fillId="0" borderId="0" xfId="0" applyFont="1" applyBorder="1" applyAlignment="1">
      <alignment horizontal="right"/>
    </xf>
    <xf numFmtId="0" fontId="0" fillId="0" borderId="12" xfId="0" applyFont="1" applyFill="1" applyBorder="1" applyAlignment="1">
      <alignment horizontal="right"/>
    </xf>
    <xf numFmtId="9" fontId="0" fillId="3" borderId="13" xfId="24" applyFont="1" applyFill="1" applyBorder="1" applyAlignment="1">
      <alignment horizontal="right"/>
    </xf>
    <xf numFmtId="9" fontId="0" fillId="3" borderId="14" xfId="24" applyFont="1" applyFill="1" applyBorder="1" applyAlignment="1">
      <alignment horizontal="right"/>
    </xf>
    <xf numFmtId="9" fontId="0" fillId="3" borderId="15" xfId="24" applyFont="1" applyFill="1" applyBorder="1" applyAlignment="1">
      <alignment horizontal="right"/>
    </xf>
    <xf numFmtId="0" fontId="0" fillId="0" borderId="10" xfId="0" applyBorder="1" applyAlignment="1">
      <alignment horizontal="right"/>
    </xf>
    <xf numFmtId="0" fontId="0" fillId="0" borderId="11" xfId="0" applyBorder="1" applyAlignment="1">
      <alignment/>
    </xf>
    <xf numFmtId="9" fontId="0" fillId="4" borderId="12" xfId="24" applyFill="1" applyBorder="1" applyAlignment="1">
      <alignment horizontal="right"/>
    </xf>
    <xf numFmtId="0" fontId="2" fillId="0" borderId="13" xfId="0" applyFont="1" applyBorder="1" applyAlignment="1">
      <alignment/>
    </xf>
    <xf numFmtId="9" fontId="2" fillId="3" borderId="15" xfId="24" applyFont="1" applyFill="1" applyBorder="1" applyAlignment="1">
      <alignment horizontal="right"/>
    </xf>
    <xf numFmtId="0" fontId="0" fillId="0" borderId="8" xfId="0" applyBorder="1" applyAlignment="1">
      <alignment horizontal="right"/>
    </xf>
    <xf numFmtId="0" fontId="5" fillId="0" borderId="11" xfId="0" applyFont="1" applyBorder="1" applyAlignment="1">
      <alignment horizontal="right"/>
    </xf>
    <xf numFmtId="9" fontId="0" fillId="0" borderId="11" xfId="24" applyBorder="1" applyAlignment="1">
      <alignment horizontal="right"/>
    </xf>
    <xf numFmtId="9" fontId="0" fillId="0" borderId="11" xfId="0" applyNumberFormat="1" applyBorder="1" applyAlignment="1">
      <alignment horizontal="right"/>
    </xf>
    <xf numFmtId="9" fontId="2" fillId="0" borderId="13" xfId="0" applyNumberFormat="1" applyFont="1" applyBorder="1" applyAlignment="1">
      <alignment horizontal="right"/>
    </xf>
    <xf numFmtId="0" fontId="9" fillId="0" borderId="3" xfId="0" applyFont="1" applyBorder="1" applyAlignment="1">
      <alignment horizontal="center" vertical="center" wrapText="1"/>
    </xf>
    <xf numFmtId="0" fontId="0" fillId="0" borderId="0" xfId="0" applyFont="1" applyBorder="1" applyAlignment="1">
      <alignment horizontal="right" wrapText="1"/>
    </xf>
    <xf numFmtId="0" fontId="0" fillId="0" borderId="0" xfId="0" applyFont="1" applyBorder="1" applyAlignment="1">
      <alignment horizontal="left" wrapText="1"/>
    </xf>
    <xf numFmtId="2" fontId="2" fillId="0" borderId="0" xfId="0" applyNumberFormat="1" applyFont="1" applyFill="1" applyBorder="1" applyAlignment="1">
      <alignment horizontal="right" wrapText="1"/>
    </xf>
    <xf numFmtId="2" fontId="0" fillId="3" borderId="0" xfId="0" applyNumberFormat="1" applyFont="1" applyFill="1" applyBorder="1" applyAlignment="1">
      <alignment horizontal="right" wrapText="1"/>
    </xf>
    <xf numFmtId="0" fontId="12" fillId="0" borderId="0" xfId="0" applyFont="1" applyAlignment="1">
      <alignment/>
    </xf>
    <xf numFmtId="0" fontId="6" fillId="0" borderId="0" xfId="0" applyFont="1" applyAlignment="1">
      <alignment/>
    </xf>
    <xf numFmtId="0" fontId="13" fillId="0" borderId="0" xfId="0" applyFont="1" applyAlignment="1">
      <alignment/>
    </xf>
    <xf numFmtId="0" fontId="12" fillId="0" borderId="0" xfId="0" applyFont="1" applyAlignment="1">
      <alignment wrapText="1"/>
    </xf>
    <xf numFmtId="0" fontId="13" fillId="0" borderId="0" xfId="0" applyFont="1" applyAlignment="1">
      <alignment wrapText="1"/>
    </xf>
    <xf numFmtId="0" fontId="5" fillId="0" borderId="12" xfId="0" applyFont="1" applyBorder="1" applyAlignment="1">
      <alignment horizontal="left"/>
    </xf>
    <xf numFmtId="9" fontId="0" fillId="4" borderId="0" xfId="24" applyFill="1" applyBorder="1" applyAlignment="1">
      <alignment horizontal="right"/>
    </xf>
    <xf numFmtId="0" fontId="0" fillId="0" borderId="0" xfId="0" applyAlignment="1" applyProtection="1">
      <alignment horizontal="left"/>
      <protection/>
    </xf>
    <xf numFmtId="0" fontId="6" fillId="0" borderId="0" xfId="0" applyFont="1" applyAlignment="1" applyProtection="1">
      <alignment horizontal="left"/>
      <protection/>
    </xf>
    <xf numFmtId="0" fontId="15" fillId="0" borderId="0" xfId="0" applyFont="1" applyAlignment="1" applyProtection="1">
      <alignment horizontal="left"/>
      <protection/>
    </xf>
    <xf numFmtId="0" fontId="15" fillId="0" borderId="0" xfId="0" applyFont="1" applyAlignment="1">
      <alignment/>
    </xf>
    <xf numFmtId="175" fontId="0" fillId="0" borderId="0" xfId="0" applyNumberFormat="1" applyAlignment="1" applyProtection="1">
      <alignment/>
      <protection/>
    </xf>
    <xf numFmtId="0" fontId="0" fillId="3" borderId="0" xfId="0" applyFill="1" applyAlignment="1" applyProtection="1">
      <alignment horizontal="left"/>
      <protection/>
    </xf>
    <xf numFmtId="9" fontId="0" fillId="3" borderId="0" xfId="24" applyNumberFormat="1" applyFill="1" applyAlignment="1" applyProtection="1">
      <alignment/>
      <protection/>
    </xf>
    <xf numFmtId="0" fontId="6" fillId="0" borderId="0" xfId="0" applyFont="1" applyAlignment="1">
      <alignment horizontal="center" wrapText="1"/>
    </xf>
    <xf numFmtId="2" fontId="12" fillId="5" borderId="0" xfId="0" applyNumberFormat="1" applyFont="1" applyFill="1" applyAlignment="1">
      <alignment horizontal="center" wrapText="1"/>
    </xf>
    <xf numFmtId="0" fontId="12"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xf>
    <xf numFmtId="43" fontId="0" fillId="0" borderId="0" xfId="15" applyNumberFormat="1" applyAlignment="1">
      <alignment horizontal="center"/>
    </xf>
    <xf numFmtId="2" fontId="0" fillId="0" borderId="0" xfId="0" applyNumberFormat="1" applyAlignment="1">
      <alignment horizontal="center"/>
    </xf>
    <xf numFmtId="2" fontId="0" fillId="4" borderId="0" xfId="0" applyNumberFormat="1" applyFill="1" applyAlignment="1">
      <alignment horizontal="center"/>
    </xf>
    <xf numFmtId="2" fontId="0" fillId="3" borderId="0" xfId="0" applyNumberFormat="1" applyFill="1" applyAlignment="1">
      <alignment horizontal="center"/>
    </xf>
    <xf numFmtId="43" fontId="0" fillId="3" borderId="0" xfId="0" applyNumberFormat="1" applyFill="1" applyAlignment="1">
      <alignment horizontal="center"/>
    </xf>
    <xf numFmtId="43" fontId="2" fillId="0" borderId="0" xfId="15" applyNumberFormat="1" applyFont="1" applyAlignment="1">
      <alignment horizontal="center"/>
    </xf>
    <xf numFmtId="0" fontId="0" fillId="3" borderId="0" xfId="0" applyFill="1" applyAlignment="1">
      <alignment horizontal="center"/>
    </xf>
    <xf numFmtId="43" fontId="2" fillId="3" borderId="0" xfId="15" applyNumberFormat="1" applyFont="1" applyFill="1" applyAlignment="1">
      <alignment horizontal="center"/>
    </xf>
    <xf numFmtId="0" fontId="6" fillId="0" borderId="0" xfId="0" applyFont="1" applyAlignment="1">
      <alignment horizontal="center"/>
    </xf>
    <xf numFmtId="1" fontId="2" fillId="0" borderId="0" xfId="0" applyNumberFormat="1" applyFont="1" applyAlignment="1">
      <alignment horizontal="center"/>
    </xf>
    <xf numFmtId="9" fontId="0" fillId="0" borderId="0" xfId="24" applyAlignment="1">
      <alignment horizontal="center"/>
    </xf>
    <xf numFmtId="43" fontId="0" fillId="0" borderId="0" xfId="0" applyNumberFormat="1" applyAlignment="1">
      <alignment horizontal="center"/>
    </xf>
    <xf numFmtId="9" fontId="2" fillId="0" borderId="0" xfId="24" applyFont="1" applyAlignment="1">
      <alignment horizontal="center"/>
    </xf>
    <xf numFmtId="2" fontId="0" fillId="4" borderId="0" xfId="0" applyNumberFormat="1" applyFill="1" applyAlignment="1">
      <alignment horizontal="left"/>
    </xf>
    <xf numFmtId="2" fontId="2" fillId="3" borderId="0" xfId="0" applyNumberFormat="1" applyFont="1" applyFill="1" applyAlignment="1">
      <alignment horizontal="left"/>
    </xf>
    <xf numFmtId="0" fontId="6" fillId="0" borderId="0" xfId="0" applyFont="1" applyAlignment="1">
      <alignment horizontal="left"/>
    </xf>
    <xf numFmtId="2" fontId="0" fillId="0" borderId="0" xfId="0" applyNumberFormat="1" applyAlignment="1">
      <alignment horizontal="left"/>
    </xf>
    <xf numFmtId="0" fontId="0" fillId="0" borderId="0" xfId="0" applyAlignment="1">
      <alignment horizontal="left"/>
    </xf>
    <xf numFmtId="0" fontId="2" fillId="0" borderId="0" xfId="0" applyFont="1" applyAlignment="1" quotePrefix="1">
      <alignment horizontal="left"/>
    </xf>
    <xf numFmtId="177" fontId="2" fillId="0" borderId="0" xfId="0" applyNumberFormat="1" applyFont="1" applyAlignment="1">
      <alignment horizontal="center"/>
    </xf>
    <xf numFmtId="2" fontId="12" fillId="5" borderId="0" xfId="0" applyNumberFormat="1" applyFont="1" applyFill="1" applyAlignment="1">
      <alignment horizontal="center"/>
    </xf>
    <xf numFmtId="43" fontId="2" fillId="3" borderId="0" xfId="0" applyNumberFormat="1" applyFont="1" applyFill="1" applyAlignment="1">
      <alignment horizontal="center"/>
    </xf>
    <xf numFmtId="0" fontId="8" fillId="0" borderId="16" xfId="0" applyFont="1" applyBorder="1" applyAlignment="1">
      <alignmen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12" fillId="0" borderId="20" xfId="0" applyFont="1" applyBorder="1" applyAlignment="1">
      <alignment horizontal="left" wrapText="1"/>
    </xf>
    <xf numFmtId="0" fontId="12" fillId="0" borderId="21" xfId="0" applyFont="1" applyBorder="1" applyAlignment="1">
      <alignment horizontal="left" wrapText="1"/>
    </xf>
    <xf numFmtId="0" fontId="12" fillId="0" borderId="16" xfId="0" applyFont="1" applyBorder="1" applyAlignment="1">
      <alignment horizontal="left" wrapText="1"/>
    </xf>
    <xf numFmtId="0" fontId="2" fillId="0" borderId="2" xfId="0" applyFont="1" applyBorder="1" applyAlignment="1">
      <alignment horizontal="center" wrapText="1"/>
    </xf>
    <xf numFmtId="0" fontId="2" fillId="0" borderId="22" xfId="0" applyFont="1" applyBorder="1" applyAlignment="1">
      <alignment horizontal="center" wrapText="1"/>
    </xf>
    <xf numFmtId="0" fontId="2" fillId="0" borderId="3"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19" xfId="0" applyFont="1" applyBorder="1" applyAlignment="1">
      <alignment vertical="top" wrapText="1"/>
    </xf>
    <xf numFmtId="0" fontId="10" fillId="0" borderId="25" xfId="0" applyFont="1" applyBorder="1" applyAlignment="1">
      <alignment vertical="top" wrapText="1"/>
    </xf>
    <xf numFmtId="0" fontId="10" fillId="0" borderId="0" xfId="0" applyFont="1" applyAlignment="1">
      <alignment vertical="top" wrapText="1"/>
    </xf>
    <xf numFmtId="0" fontId="10" fillId="0" borderId="26" xfId="0" applyFont="1" applyBorder="1" applyAlignment="1">
      <alignment vertical="top" wrapText="1"/>
    </xf>
    <xf numFmtId="0" fontId="0" fillId="0" borderId="0" xfId="0" applyFont="1" applyAlignment="1">
      <alignment vertical="top" wrapText="1"/>
    </xf>
    <xf numFmtId="0" fontId="0" fillId="0" borderId="26" xfId="0" applyFont="1" applyBorder="1" applyAlignment="1">
      <alignment vertical="top" wrapText="1"/>
    </xf>
    <xf numFmtId="0" fontId="0" fillId="0" borderId="25" xfId="0" applyFont="1" applyBorder="1" applyAlignment="1">
      <alignment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8" fillId="0" borderId="21" xfId="0" applyFont="1" applyBorder="1" applyAlignment="1">
      <alignment wrapText="1"/>
    </xf>
    <xf numFmtId="0" fontId="6" fillId="0" borderId="4" xfId="0" applyFont="1" applyBorder="1" applyAlignment="1">
      <alignment horizontal="left" wrapText="1"/>
    </xf>
    <xf numFmtId="0" fontId="6" fillId="0" borderId="23" xfId="0" applyFont="1" applyBorder="1" applyAlignment="1">
      <alignment horizontal="left" wrapText="1"/>
    </xf>
    <xf numFmtId="0" fontId="6" fillId="0" borderId="24" xfId="0" applyFont="1" applyBorder="1" applyAlignment="1">
      <alignment horizontal="left" wrapText="1"/>
    </xf>
    <xf numFmtId="0" fontId="0" fillId="0" borderId="4"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center" wrapText="1"/>
    </xf>
    <xf numFmtId="0" fontId="8" fillId="0" borderId="2" xfId="0" applyFont="1" applyBorder="1" applyAlignment="1">
      <alignment wrapText="1"/>
    </xf>
    <xf numFmtId="0" fontId="8" fillId="0" borderId="3" xfId="0" applyFont="1" applyBorder="1" applyAlignment="1">
      <alignment wrapText="1"/>
    </xf>
    <xf numFmtId="3" fontId="2" fillId="0" borderId="2" xfId="0" applyNumberFormat="1" applyFont="1" applyBorder="1" applyAlignment="1">
      <alignment horizontal="right" wrapText="1"/>
    </xf>
    <xf numFmtId="3" fontId="2" fillId="0" borderId="3" xfId="0" applyNumberFormat="1" applyFont="1" applyBorder="1" applyAlignment="1">
      <alignment horizontal="right" wrapText="1"/>
    </xf>
    <xf numFmtId="0" fontId="2" fillId="0" borderId="2" xfId="0" applyFont="1" applyBorder="1" applyAlignment="1">
      <alignment horizontal="right" wrapText="1"/>
    </xf>
    <xf numFmtId="0" fontId="2" fillId="0" borderId="3" xfId="0" applyFont="1" applyBorder="1" applyAlignment="1">
      <alignment horizontal="right" wrapText="1"/>
    </xf>
    <xf numFmtId="0" fontId="0" fillId="0" borderId="4" xfId="0" applyFont="1" applyBorder="1" applyAlignment="1">
      <alignment horizontal="center" wrapText="1"/>
    </xf>
    <xf numFmtId="0" fontId="0" fillId="0" borderId="23" xfId="0" applyFont="1" applyBorder="1" applyAlignment="1">
      <alignment horizontal="center" wrapText="1"/>
    </xf>
    <xf numFmtId="0" fontId="8" fillId="0" borderId="17" xfId="0" applyFont="1" applyBorder="1" applyAlignment="1">
      <alignment wrapText="1"/>
    </xf>
    <xf numFmtId="0" fontId="8" fillId="0" borderId="20" xfId="0" applyFont="1" applyBorder="1" applyAlignment="1">
      <alignment wrapText="1"/>
    </xf>
    <xf numFmtId="0" fontId="2" fillId="0" borderId="17" xfId="0" applyFont="1" applyBorder="1" applyAlignment="1">
      <alignment horizontal="right" wrapText="1"/>
    </xf>
    <xf numFmtId="0" fontId="2" fillId="0" borderId="20" xfId="0" applyFont="1" applyBorder="1" applyAlignment="1">
      <alignment horizontal="right" wrapText="1"/>
    </xf>
    <xf numFmtId="3" fontId="2" fillId="0" borderId="17" xfId="0" applyNumberFormat="1" applyFont="1" applyBorder="1" applyAlignment="1">
      <alignment horizontal="right" wrapText="1"/>
    </xf>
    <xf numFmtId="3" fontId="2" fillId="0" borderId="20" xfId="0" applyNumberFormat="1" applyFont="1" applyBorder="1" applyAlignment="1">
      <alignment horizontal="right" wrapText="1"/>
    </xf>
    <xf numFmtId="0" fontId="2" fillId="0" borderId="0" xfId="0" applyFont="1" applyAlignment="1">
      <alignment wrapText="1"/>
    </xf>
    <xf numFmtId="0" fontId="0" fillId="0" borderId="0" xfId="0" applyAlignment="1">
      <alignment wrapText="1"/>
    </xf>
    <xf numFmtId="0" fontId="20" fillId="0" borderId="0" xfId="23" applyFont="1" applyAlignment="1">
      <alignment horizontal="left"/>
      <protection/>
    </xf>
    <xf numFmtId="0" fontId="16" fillId="0" borderId="0" xfId="23" applyAlignment="1">
      <alignment horizontal="center"/>
      <protection/>
    </xf>
    <xf numFmtId="0" fontId="16" fillId="0" borderId="0" xfId="23">
      <alignment/>
      <protection/>
    </xf>
    <xf numFmtId="173" fontId="16" fillId="0" borderId="0" xfId="15" applyNumberFormat="1" applyAlignment="1">
      <alignment horizontal="center"/>
    </xf>
    <xf numFmtId="186" fontId="16" fillId="0" borderId="0" xfId="15" applyNumberFormat="1" applyAlignment="1">
      <alignment/>
    </xf>
    <xf numFmtId="173" fontId="21" fillId="6" borderId="5" xfId="23" applyNumberFormat="1" applyFont="1" applyFill="1" applyBorder="1" applyAlignment="1">
      <alignment horizontal="center"/>
      <protection/>
    </xf>
    <xf numFmtId="0" fontId="16" fillId="0" borderId="0" xfId="23" applyFont="1" applyFill="1" applyBorder="1" applyAlignment="1">
      <alignment horizontal="left"/>
      <protection/>
    </xf>
    <xf numFmtId="0" fontId="16" fillId="0" borderId="0" xfId="23" applyFill="1" applyBorder="1" applyAlignment="1">
      <alignment horizontal="center"/>
      <protection/>
    </xf>
    <xf numFmtId="0" fontId="16" fillId="0" borderId="0" xfId="23" applyBorder="1" applyAlignment="1">
      <alignment horizontal="center"/>
      <protection/>
    </xf>
    <xf numFmtId="1" fontId="21" fillId="6" borderId="6" xfId="23" applyNumberFormat="1" applyFont="1" applyFill="1" applyBorder="1" applyAlignment="1">
      <alignment horizontal="center"/>
      <protection/>
    </xf>
    <xf numFmtId="0" fontId="21" fillId="6" borderId="7" xfId="23" applyFont="1" applyFill="1" applyBorder="1" applyAlignment="1">
      <alignment horizontal="center"/>
      <protection/>
    </xf>
    <xf numFmtId="0" fontId="16" fillId="0" borderId="0" xfId="23" applyFont="1" applyAlignment="1">
      <alignment horizontal="left"/>
      <protection/>
    </xf>
    <xf numFmtId="0" fontId="16" fillId="0" borderId="0" xfId="23" applyAlignment="1">
      <alignment horizontal="left"/>
      <protection/>
    </xf>
    <xf numFmtId="0" fontId="21" fillId="0" borderId="0" xfId="23" applyFont="1" applyBorder="1" applyAlignment="1">
      <alignment horizontal="left"/>
      <protection/>
    </xf>
    <xf numFmtId="0" fontId="21" fillId="7" borderId="27" xfId="23" applyFont="1" applyFill="1" applyBorder="1" applyAlignment="1">
      <alignment vertical="center"/>
      <protection/>
    </xf>
    <xf numFmtId="0" fontId="21" fillId="6" borderId="28" xfId="23" applyFont="1" applyFill="1" applyBorder="1" applyAlignment="1">
      <alignment horizontal="center" vertical="center"/>
      <protection/>
    </xf>
    <xf numFmtId="0" fontId="21" fillId="6" borderId="29" xfId="23" applyFont="1" applyFill="1" applyBorder="1" applyAlignment="1">
      <alignment vertical="center"/>
      <protection/>
    </xf>
    <xf numFmtId="0" fontId="21" fillId="6" borderId="30" xfId="23" applyFont="1" applyFill="1" applyBorder="1" applyAlignment="1">
      <alignment vertical="center"/>
      <protection/>
    </xf>
    <xf numFmtId="173" fontId="21" fillId="8" borderId="28" xfId="15" applyNumberFormat="1" applyFont="1" applyFill="1" applyBorder="1" applyAlignment="1">
      <alignment horizontal="center" vertical="center"/>
    </xf>
    <xf numFmtId="173" fontId="21" fillId="8" borderId="29" xfId="15" applyNumberFormat="1" applyFont="1" applyFill="1" applyBorder="1" applyAlignment="1">
      <alignment horizontal="center" vertical="center"/>
    </xf>
    <xf numFmtId="173" fontId="21" fillId="8" borderId="30" xfId="15" applyNumberFormat="1" applyFont="1" applyFill="1" applyBorder="1" applyAlignment="1">
      <alignment horizontal="center" vertical="center"/>
    </xf>
    <xf numFmtId="0" fontId="16" fillId="0" borderId="31" xfId="23" applyBorder="1" applyAlignment="1">
      <alignment wrapText="1"/>
      <protection/>
    </xf>
    <xf numFmtId="0" fontId="21" fillId="0" borderId="28" xfId="23" applyFont="1" applyBorder="1" applyAlignment="1">
      <alignment horizontal="center" wrapText="1"/>
      <protection/>
    </xf>
    <xf numFmtId="0" fontId="21" fillId="0" borderId="29" xfId="23" applyFont="1" applyBorder="1" applyAlignment="1">
      <alignment horizontal="center" wrapText="1"/>
      <protection/>
    </xf>
    <xf numFmtId="0" fontId="21" fillId="0" borderId="32" xfId="23" applyFont="1" applyBorder="1" applyAlignment="1">
      <alignment horizontal="center" wrapText="1"/>
      <protection/>
    </xf>
    <xf numFmtId="0" fontId="21" fillId="0" borderId="33" xfId="23" applyFont="1" applyBorder="1" applyAlignment="1">
      <alignment horizontal="center" wrapText="1"/>
      <protection/>
    </xf>
    <xf numFmtId="173" fontId="21" fillId="8" borderId="27" xfId="15" applyNumberFormat="1" applyFont="1" applyFill="1" applyBorder="1" applyAlignment="1">
      <alignment horizontal="center" wrapText="1"/>
    </xf>
    <xf numFmtId="0" fontId="16" fillId="0" borderId="0" xfId="23" applyAlignment="1">
      <alignment wrapText="1"/>
      <protection/>
    </xf>
    <xf numFmtId="0" fontId="16" fillId="0" borderId="34" xfId="23" applyBorder="1">
      <alignment/>
      <protection/>
    </xf>
    <xf numFmtId="1" fontId="16" fillId="0" borderId="32" xfId="15" applyNumberFormat="1" applyFont="1" applyBorder="1" applyAlignment="1" applyProtection="1">
      <alignment horizontal="center"/>
      <protection locked="0"/>
    </xf>
    <xf numFmtId="9" fontId="16" fillId="0" borderId="35" xfId="24" applyBorder="1" applyAlignment="1">
      <alignment horizontal="center"/>
    </xf>
    <xf numFmtId="1" fontId="16" fillId="0" borderId="35" xfId="23" applyNumberFormat="1" applyBorder="1" applyAlignment="1">
      <alignment horizontal="center"/>
      <protection/>
    </xf>
    <xf numFmtId="172" fontId="16" fillId="0" borderId="35" xfId="23" applyNumberFormat="1" applyBorder="1" applyAlignment="1">
      <alignment horizontal="center"/>
      <protection/>
    </xf>
    <xf numFmtId="0" fontId="16" fillId="0" borderId="35" xfId="23" applyBorder="1" applyAlignment="1">
      <alignment horizontal="center"/>
      <protection/>
    </xf>
    <xf numFmtId="2" fontId="16" fillId="0" borderId="35" xfId="23" applyNumberFormat="1" applyBorder="1" applyAlignment="1">
      <alignment horizontal="center"/>
      <protection/>
    </xf>
    <xf numFmtId="9" fontId="16" fillId="0" borderId="35" xfId="24" applyFont="1" applyBorder="1" applyAlignment="1">
      <alignment horizontal="center"/>
    </xf>
    <xf numFmtId="178" fontId="16" fillId="0" borderId="32" xfId="23" applyNumberFormat="1" applyBorder="1" applyAlignment="1">
      <alignment horizontal="center"/>
      <protection/>
    </xf>
    <xf numFmtId="182" fontId="16" fillId="0" borderId="33" xfId="23" applyNumberFormat="1" applyBorder="1" applyAlignment="1">
      <alignment horizontal="center"/>
      <protection/>
    </xf>
    <xf numFmtId="182" fontId="16" fillId="8" borderId="36" xfId="15" applyNumberFormat="1" applyFill="1" applyBorder="1" applyAlignment="1">
      <alignment horizontal="center"/>
    </xf>
    <xf numFmtId="1" fontId="16" fillId="0" borderId="37" xfId="15" applyNumberFormat="1" applyFont="1" applyBorder="1" applyAlignment="1" applyProtection="1">
      <alignment horizontal="center"/>
      <protection locked="0"/>
    </xf>
    <xf numFmtId="9" fontId="16" fillId="0" borderId="0" xfId="24" applyBorder="1" applyAlignment="1">
      <alignment horizontal="center"/>
    </xf>
    <xf numFmtId="1" fontId="16" fillId="0" borderId="0" xfId="23" applyNumberFormat="1" applyBorder="1" applyAlignment="1">
      <alignment horizontal="center"/>
      <protection/>
    </xf>
    <xf numFmtId="172" fontId="16" fillId="0" borderId="0" xfId="23" applyNumberFormat="1" applyBorder="1" applyAlignment="1">
      <alignment horizontal="center"/>
      <protection/>
    </xf>
    <xf numFmtId="2" fontId="16" fillId="0" borderId="0" xfId="23" applyNumberFormat="1" applyBorder="1" applyAlignment="1">
      <alignment horizontal="center"/>
      <protection/>
    </xf>
    <xf numFmtId="9" fontId="16" fillId="0" borderId="0" xfId="24" applyFont="1" applyBorder="1" applyAlignment="1">
      <alignment horizontal="center"/>
    </xf>
    <xf numFmtId="178" fontId="16" fillId="0" borderId="37" xfId="23" applyNumberFormat="1" applyBorder="1" applyAlignment="1">
      <alignment horizontal="center"/>
      <protection/>
    </xf>
    <xf numFmtId="182" fontId="16" fillId="0" borderId="36" xfId="23" applyNumberFormat="1" applyBorder="1" applyAlignment="1">
      <alignment horizontal="center"/>
      <protection/>
    </xf>
    <xf numFmtId="0" fontId="16" fillId="0" borderId="38" xfId="23" applyBorder="1">
      <alignment/>
      <protection/>
    </xf>
    <xf numFmtId="1" fontId="16" fillId="0" borderId="39" xfId="15" applyNumberFormat="1" applyFont="1" applyBorder="1" applyAlignment="1" applyProtection="1">
      <alignment horizontal="center"/>
      <protection locked="0"/>
    </xf>
    <xf numFmtId="9" fontId="16" fillId="0" borderId="40" xfId="24" applyBorder="1" applyAlignment="1">
      <alignment horizontal="center"/>
    </xf>
    <xf numFmtId="1" fontId="16" fillId="0" borderId="40" xfId="23" applyNumberFormat="1" applyBorder="1" applyAlignment="1">
      <alignment horizontal="center"/>
      <protection/>
    </xf>
    <xf numFmtId="172" fontId="16" fillId="0" borderId="40" xfId="23" applyNumberFormat="1" applyBorder="1" applyAlignment="1">
      <alignment horizontal="center"/>
      <protection/>
    </xf>
    <xf numFmtId="0" fontId="16" fillId="0" borderId="40" xfId="23" applyBorder="1" applyAlignment="1">
      <alignment horizontal="center"/>
      <protection/>
    </xf>
    <xf numFmtId="2" fontId="16" fillId="0" borderId="40" xfId="23" applyNumberFormat="1" applyBorder="1" applyAlignment="1">
      <alignment horizontal="center"/>
      <protection/>
    </xf>
    <xf numFmtId="178" fontId="16" fillId="0" borderId="39" xfId="23" applyNumberFormat="1" applyBorder="1" applyAlignment="1">
      <alignment horizontal="center"/>
      <protection/>
    </xf>
    <xf numFmtId="182" fontId="16" fillId="0" borderId="41" xfId="23" applyNumberFormat="1" applyBorder="1" applyAlignment="1">
      <alignment horizontal="center"/>
      <protection/>
    </xf>
    <xf numFmtId="182" fontId="16" fillId="8" borderId="41" xfId="15" applyNumberFormat="1" applyFill="1" applyBorder="1" applyAlignment="1">
      <alignment horizontal="center"/>
    </xf>
    <xf numFmtId="1" fontId="16" fillId="0" borderId="0" xfId="15" applyNumberFormat="1" applyFont="1" applyBorder="1" applyAlignment="1" applyProtection="1">
      <alignment horizontal="center"/>
      <protection locked="0"/>
    </xf>
    <xf numFmtId="182" fontId="16" fillId="8" borderId="33" xfId="15" applyNumberFormat="1" applyFill="1" applyBorder="1" applyAlignment="1">
      <alignment horizontal="center"/>
    </xf>
    <xf numFmtId="1" fontId="16" fillId="0" borderId="40" xfId="15" applyNumberFormat="1" applyFont="1" applyBorder="1" applyAlignment="1" applyProtection="1">
      <alignment horizontal="center"/>
      <protection locked="0"/>
    </xf>
    <xf numFmtId="173" fontId="23" fillId="0" borderId="0" xfId="15" applyNumberFormat="1" applyFont="1" applyAlignment="1">
      <alignment horizontal="center" wrapText="1"/>
    </xf>
    <xf numFmtId="173" fontId="16" fillId="0" borderId="0" xfId="15" applyNumberFormat="1" applyAlignment="1">
      <alignment horizontal="center" wrapText="1"/>
    </xf>
    <xf numFmtId="0" fontId="16" fillId="0" borderId="0" xfId="23" applyAlignment="1">
      <alignment horizontal="center" wrapText="1"/>
      <protection/>
    </xf>
    <xf numFmtId="173" fontId="16" fillId="0" borderId="0" xfId="15" applyNumberFormat="1" applyAlignment="1">
      <alignment horizontal="center" wrapText="1"/>
    </xf>
    <xf numFmtId="0" fontId="23" fillId="0" borderId="0" xfId="23" applyFont="1">
      <alignment/>
      <protection/>
    </xf>
    <xf numFmtId="173" fontId="16" fillId="0" borderId="0" xfId="15" applyNumberFormat="1" applyAlignment="1">
      <alignment horizontal="center"/>
    </xf>
    <xf numFmtId="0" fontId="21" fillId="0" borderId="0" xfId="23" applyFont="1">
      <alignment/>
      <protection/>
    </xf>
    <xf numFmtId="0" fontId="22" fillId="0" borderId="0" xfId="23" applyFont="1" applyAlignment="1">
      <alignment horizontal="center"/>
      <protection/>
    </xf>
    <xf numFmtId="0" fontId="22" fillId="0" borderId="0" xfId="23" applyFont="1" applyAlignment="1">
      <alignment horizontal="left"/>
      <protection/>
    </xf>
    <xf numFmtId="173" fontId="16" fillId="0" borderId="0" xfId="23" applyNumberFormat="1" applyAlignment="1">
      <alignment horizontal="center"/>
      <protection/>
    </xf>
    <xf numFmtId="176" fontId="16" fillId="8" borderId="0" xfId="24" applyNumberFormat="1" applyFont="1" applyFill="1" applyAlignment="1">
      <alignment horizontal="center"/>
    </xf>
    <xf numFmtId="0" fontId="16" fillId="0" borderId="31" xfId="23" applyBorder="1">
      <alignment/>
      <protection/>
    </xf>
    <xf numFmtId="0" fontId="21" fillId="0" borderId="32" xfId="23" applyFont="1" applyBorder="1" applyAlignment="1">
      <alignment horizontal="left"/>
      <protection/>
    </xf>
    <xf numFmtId="0" fontId="21" fillId="0" borderId="33" xfId="23" applyFont="1" applyBorder="1" applyAlignment="1">
      <alignment horizontal="center"/>
      <protection/>
    </xf>
    <xf numFmtId="0" fontId="21" fillId="0" borderId="35" xfId="23" applyFont="1" applyBorder="1" applyAlignment="1">
      <alignment horizontal="left"/>
      <protection/>
    </xf>
    <xf numFmtId="0" fontId="16" fillId="0" borderId="33" xfId="23" applyBorder="1" applyAlignment="1">
      <alignment horizontal="center"/>
      <protection/>
    </xf>
    <xf numFmtId="0" fontId="22" fillId="0" borderId="32" xfId="23" applyFont="1" applyBorder="1" applyAlignment="1">
      <alignment horizontal="center"/>
      <protection/>
    </xf>
    <xf numFmtId="0" fontId="22" fillId="0" borderId="35" xfId="23" applyFont="1" applyBorder="1" applyAlignment="1">
      <alignment horizontal="center"/>
      <protection/>
    </xf>
    <xf numFmtId="0" fontId="22" fillId="0" borderId="28" xfId="23" applyFont="1" applyBorder="1" applyAlignment="1">
      <alignment horizontal="center"/>
      <protection/>
    </xf>
    <xf numFmtId="0" fontId="22" fillId="0" borderId="30" xfId="23" applyFont="1" applyBorder="1" applyAlignment="1">
      <alignment horizontal="center"/>
      <protection/>
    </xf>
    <xf numFmtId="164" fontId="16" fillId="0" borderId="32" xfId="23" applyNumberFormat="1" applyBorder="1" applyAlignment="1">
      <alignment horizontal="center"/>
      <protection/>
    </xf>
    <xf numFmtId="164" fontId="16" fillId="0" borderId="35" xfId="23" applyNumberFormat="1" applyBorder="1" applyAlignment="1">
      <alignment horizontal="center"/>
      <protection/>
    </xf>
    <xf numFmtId="9" fontId="16" fillId="0" borderId="32" xfId="24" applyBorder="1" applyAlignment="1">
      <alignment horizontal="center"/>
    </xf>
    <xf numFmtId="9" fontId="16" fillId="0" borderId="33" xfId="24" applyBorder="1" applyAlignment="1">
      <alignment horizontal="center"/>
    </xf>
    <xf numFmtId="173" fontId="16" fillId="0" borderId="0" xfId="15" applyNumberFormat="1" applyAlignment="1">
      <alignment horizontal="left"/>
    </xf>
    <xf numFmtId="164" fontId="16" fillId="0" borderId="37" xfId="23" applyNumberFormat="1" applyBorder="1" applyAlignment="1">
      <alignment horizontal="center"/>
      <protection/>
    </xf>
    <xf numFmtId="164" fontId="16" fillId="0" borderId="0" xfId="23" applyNumberFormat="1" applyAlignment="1">
      <alignment horizontal="center"/>
      <protection/>
    </xf>
    <xf numFmtId="9" fontId="16" fillId="0" borderId="37" xfId="24" applyBorder="1" applyAlignment="1">
      <alignment horizontal="center"/>
    </xf>
    <xf numFmtId="9" fontId="16" fillId="0" borderId="36" xfId="24" applyBorder="1" applyAlignment="1">
      <alignment horizontal="center"/>
    </xf>
    <xf numFmtId="1" fontId="16" fillId="0" borderId="0" xfId="23" applyNumberFormat="1" applyAlignment="1">
      <alignment horizontal="center"/>
      <protection/>
    </xf>
    <xf numFmtId="2" fontId="16" fillId="0" borderId="0" xfId="23" applyNumberFormat="1" applyAlignment="1">
      <alignment horizontal="center"/>
      <protection/>
    </xf>
    <xf numFmtId="2" fontId="16" fillId="0" borderId="0" xfId="23" applyNumberFormat="1" applyFill="1" applyBorder="1" applyAlignment="1">
      <alignment horizontal="center"/>
      <protection/>
    </xf>
    <xf numFmtId="164" fontId="16" fillId="0" borderId="39" xfId="23" applyNumberFormat="1" applyBorder="1" applyAlignment="1">
      <alignment horizontal="center"/>
      <protection/>
    </xf>
    <xf numFmtId="164" fontId="16" fillId="0" borderId="40" xfId="23" applyNumberFormat="1" applyBorder="1" applyAlignment="1">
      <alignment horizontal="center"/>
      <protection/>
    </xf>
    <xf numFmtId="9" fontId="16" fillId="0" borderId="39" xfId="24" applyBorder="1" applyAlignment="1">
      <alignment horizontal="center"/>
    </xf>
    <xf numFmtId="9" fontId="16" fillId="0" borderId="41" xfId="24" applyBorder="1" applyAlignment="1">
      <alignment horizontal="center"/>
    </xf>
    <xf numFmtId="164" fontId="16" fillId="8" borderId="37" xfId="23" applyNumberFormat="1" applyFill="1" applyBorder="1" applyAlignment="1">
      <alignment horizontal="center"/>
      <protection/>
    </xf>
    <xf numFmtId="164" fontId="16" fillId="8" borderId="36" xfId="23" applyNumberFormat="1" applyFill="1" applyBorder="1" applyAlignment="1">
      <alignment horizontal="center"/>
      <protection/>
    </xf>
    <xf numFmtId="0" fontId="16" fillId="0" borderId="36" xfId="23" applyBorder="1" applyAlignment="1">
      <alignment horizontal="center"/>
      <protection/>
    </xf>
    <xf numFmtId="0" fontId="16" fillId="9" borderId="39" xfId="23" applyFill="1" applyBorder="1" applyAlignment="1">
      <alignment horizontal="center"/>
      <protection/>
    </xf>
    <xf numFmtId="0" fontId="16" fillId="9" borderId="41" xfId="23" applyFill="1" applyBorder="1" applyAlignment="1">
      <alignment horizontal="center"/>
      <protection/>
    </xf>
    <xf numFmtId="0" fontId="16" fillId="0" borderId="41" xfId="23" applyBorder="1" applyAlignment="1">
      <alignment horizontal="center"/>
      <protection/>
    </xf>
    <xf numFmtId="0" fontId="20" fillId="0" borderId="0" xfId="23" applyFont="1">
      <alignment/>
      <protection/>
    </xf>
    <xf numFmtId="0" fontId="24" fillId="0" borderId="0" xfId="23" applyFont="1" applyAlignment="1">
      <alignment horizontal="center"/>
      <protection/>
    </xf>
    <xf numFmtId="0" fontId="25" fillId="0" borderId="0" xfId="23" applyFont="1" applyAlignment="1">
      <alignment horizontal="center"/>
      <protection/>
    </xf>
    <xf numFmtId="0" fontId="25" fillId="6" borderId="8" xfId="23" applyFont="1" applyFill="1" applyBorder="1" applyAlignment="1">
      <alignment horizontal="center"/>
      <protection/>
    </xf>
    <xf numFmtId="0" fontId="25" fillId="6" borderId="9" xfId="23" applyFont="1" applyFill="1" applyBorder="1" applyAlignment="1">
      <alignment horizontal="center"/>
      <protection/>
    </xf>
    <xf numFmtId="0" fontId="25" fillId="6" borderId="10" xfId="23" applyFont="1" applyFill="1" applyBorder="1" applyAlignment="1">
      <alignment horizontal="center"/>
      <protection/>
    </xf>
    <xf numFmtId="0" fontId="25" fillId="0" borderId="0" xfId="23" applyFont="1" applyAlignment="1">
      <alignment horizontal="left"/>
      <protection/>
    </xf>
    <xf numFmtId="0" fontId="25" fillId="6" borderId="11" xfId="23" applyFont="1" applyFill="1" applyBorder="1" applyAlignment="1">
      <alignment horizontal="center"/>
      <protection/>
    </xf>
    <xf numFmtId="0" fontId="25" fillId="6" borderId="0" xfId="23" applyFont="1" applyFill="1" applyBorder="1" applyAlignment="1">
      <alignment horizontal="center"/>
      <protection/>
    </xf>
    <xf numFmtId="0" fontId="25" fillId="6" borderId="12" xfId="23" applyFont="1" applyFill="1" applyBorder="1" applyAlignment="1">
      <alignment horizontal="center"/>
      <protection/>
    </xf>
    <xf numFmtId="9" fontId="25" fillId="6" borderId="11" xfId="24" applyFont="1" applyFill="1" applyBorder="1" applyAlignment="1">
      <alignment horizontal="center"/>
    </xf>
    <xf numFmtId="9" fontId="25" fillId="6" borderId="0" xfId="24" applyFont="1" applyFill="1" applyBorder="1" applyAlignment="1">
      <alignment horizontal="center"/>
    </xf>
    <xf numFmtId="9" fontId="25" fillId="6" borderId="12" xfId="24" applyFont="1" applyFill="1" applyBorder="1" applyAlignment="1">
      <alignment horizontal="center"/>
    </xf>
    <xf numFmtId="176" fontId="25" fillId="6" borderId="11" xfId="24" applyNumberFormat="1" applyFont="1" applyFill="1" applyBorder="1" applyAlignment="1">
      <alignment horizontal="center"/>
    </xf>
    <xf numFmtId="176" fontId="25" fillId="6" borderId="0" xfId="24" applyNumberFormat="1" applyFont="1" applyFill="1" applyBorder="1" applyAlignment="1">
      <alignment horizontal="center"/>
    </xf>
    <xf numFmtId="176" fontId="25" fillId="6" borderId="12" xfId="24" applyNumberFormat="1" applyFont="1" applyFill="1" applyBorder="1" applyAlignment="1">
      <alignment horizontal="center"/>
    </xf>
    <xf numFmtId="10" fontId="25" fillId="6" borderId="11" xfId="24" applyNumberFormat="1" applyFont="1" applyFill="1" applyBorder="1" applyAlignment="1">
      <alignment horizontal="center"/>
    </xf>
    <xf numFmtId="10" fontId="25" fillId="6" borderId="0" xfId="24" applyNumberFormat="1" applyFont="1" applyFill="1" applyBorder="1" applyAlignment="1">
      <alignment horizontal="center"/>
    </xf>
    <xf numFmtId="10" fontId="25" fillId="6" borderId="12" xfId="24" applyNumberFormat="1" applyFont="1" applyFill="1" applyBorder="1" applyAlignment="1">
      <alignment horizontal="center"/>
    </xf>
    <xf numFmtId="3" fontId="25" fillId="8" borderId="11" xfId="15" applyNumberFormat="1" applyFont="1" applyFill="1" applyBorder="1" applyAlignment="1">
      <alignment horizontal="center"/>
    </xf>
    <xf numFmtId="3" fontId="25" fillId="8" borderId="0" xfId="15" applyNumberFormat="1" applyFont="1" applyFill="1" applyBorder="1" applyAlignment="1">
      <alignment horizontal="center"/>
    </xf>
    <xf numFmtId="3" fontId="25" fillId="8" borderId="12" xfId="15" applyNumberFormat="1" applyFont="1" applyFill="1" applyBorder="1" applyAlignment="1">
      <alignment horizontal="center"/>
    </xf>
    <xf numFmtId="204" fontId="25" fillId="8" borderId="13" xfId="23" applyNumberFormat="1" applyFont="1" applyFill="1" applyBorder="1" applyAlignment="1">
      <alignment horizontal="center"/>
      <protection/>
    </xf>
    <xf numFmtId="204" fontId="25" fillId="8" borderId="14" xfId="23" applyNumberFormat="1" applyFont="1" applyFill="1" applyBorder="1" applyAlignment="1">
      <alignment horizontal="center"/>
      <protection/>
    </xf>
    <xf numFmtId="204" fontId="25" fillId="8" borderId="15" xfId="23" applyNumberFormat="1" applyFont="1" applyFill="1" applyBorder="1" applyAlignment="1">
      <alignment horizontal="center"/>
      <protection/>
    </xf>
    <xf numFmtId="167" fontId="16" fillId="0" borderId="0" xfId="15" applyNumberFormat="1" applyAlignment="1">
      <alignment horizontal="center"/>
    </xf>
    <xf numFmtId="9" fontId="22" fillId="0" borderId="0" xfId="24" applyFont="1" applyAlignment="1">
      <alignment horizontal="center"/>
    </xf>
    <xf numFmtId="0" fontId="24" fillId="0" borderId="0" xfId="23" applyFont="1" applyAlignment="1">
      <alignment horizontal="left"/>
      <protection/>
    </xf>
    <xf numFmtId="0" fontId="26" fillId="0" borderId="0" xfId="23" applyFont="1" applyAlignment="1">
      <alignment horizontal="left"/>
      <protection/>
    </xf>
    <xf numFmtId="0" fontId="21" fillId="0" borderId="30" xfId="23" applyFont="1" applyBorder="1" applyAlignment="1">
      <alignment horizontal="center" wrapText="1"/>
      <protection/>
    </xf>
    <xf numFmtId="0" fontId="22" fillId="0" borderId="0" xfId="23" applyFont="1">
      <alignment/>
      <protection/>
    </xf>
    <xf numFmtId="0" fontId="16" fillId="6" borderId="32" xfId="23" applyFill="1" applyBorder="1" applyAlignment="1">
      <alignment horizontal="center"/>
      <protection/>
    </xf>
    <xf numFmtId="0" fontId="16" fillId="6" borderId="35" xfId="23" applyFill="1" applyBorder="1" applyAlignment="1">
      <alignment horizontal="center"/>
      <protection/>
    </xf>
    <xf numFmtId="0" fontId="16" fillId="6" borderId="33" xfId="23" applyFill="1" applyBorder="1" applyAlignment="1">
      <alignment horizontal="center"/>
      <protection/>
    </xf>
    <xf numFmtId="180" fontId="16" fillId="6" borderId="37" xfId="17" applyNumberFormat="1" applyFill="1" applyBorder="1" applyAlignment="1">
      <alignment horizontal="center"/>
    </xf>
    <xf numFmtId="180" fontId="16" fillId="6" borderId="0" xfId="17" applyNumberFormat="1" applyFill="1" applyBorder="1" applyAlignment="1">
      <alignment horizontal="center"/>
    </xf>
    <xf numFmtId="180" fontId="16" fillId="6" borderId="0" xfId="23" applyNumberFormat="1" applyFill="1" applyBorder="1" applyAlignment="1">
      <alignment horizontal="center"/>
      <protection/>
    </xf>
    <xf numFmtId="180" fontId="16" fillId="6" borderId="36" xfId="23" applyNumberFormat="1" applyFill="1" applyBorder="1" applyAlignment="1">
      <alignment horizontal="center"/>
      <protection/>
    </xf>
    <xf numFmtId="201" fontId="16" fillId="6" borderId="37" xfId="17" applyNumberFormat="1" applyFill="1" applyBorder="1" applyAlignment="1">
      <alignment horizontal="center"/>
    </xf>
    <xf numFmtId="201" fontId="16" fillId="6" borderId="0" xfId="17" applyNumberFormat="1" applyFill="1" applyBorder="1" applyAlignment="1">
      <alignment horizontal="center"/>
    </xf>
    <xf numFmtId="201" fontId="16" fillId="6" borderId="36" xfId="17" applyNumberFormat="1" applyFill="1" applyBorder="1" applyAlignment="1">
      <alignment horizontal="center"/>
    </xf>
    <xf numFmtId="3" fontId="16" fillId="6" borderId="37" xfId="15" applyNumberFormat="1" applyFont="1" applyFill="1" applyBorder="1" applyAlignment="1">
      <alignment horizontal="center"/>
    </xf>
    <xf numFmtId="3" fontId="16" fillId="6" borderId="0" xfId="15" applyNumberFormat="1" applyFont="1" applyFill="1" applyBorder="1" applyAlignment="1">
      <alignment horizontal="center"/>
    </xf>
    <xf numFmtId="3" fontId="16" fillId="6" borderId="36" xfId="15" applyNumberFormat="1" applyFont="1" applyFill="1" applyBorder="1" applyAlignment="1">
      <alignment horizontal="center"/>
    </xf>
    <xf numFmtId="0" fontId="16" fillId="0" borderId="0" xfId="23" applyFont="1">
      <alignment/>
      <protection/>
    </xf>
    <xf numFmtId="3" fontId="16" fillId="0" borderId="37" xfId="15" applyNumberFormat="1" applyFont="1" applyBorder="1" applyAlignment="1">
      <alignment horizontal="center"/>
    </xf>
    <xf numFmtId="3" fontId="16" fillId="0" borderId="0" xfId="15" applyNumberFormat="1" applyFont="1" applyBorder="1" applyAlignment="1">
      <alignment horizontal="center"/>
    </xf>
    <xf numFmtId="3" fontId="16" fillId="0" borderId="36" xfId="15" applyNumberFormat="1" applyFont="1" applyBorder="1" applyAlignment="1">
      <alignment horizontal="center"/>
    </xf>
    <xf numFmtId="201" fontId="16" fillId="8" borderId="37" xfId="17" applyNumberFormat="1" applyFont="1" applyFill="1" applyBorder="1" applyAlignment="1">
      <alignment horizontal="center"/>
    </xf>
    <xf numFmtId="201" fontId="16" fillId="8" borderId="0" xfId="17" applyNumberFormat="1" applyFont="1" applyFill="1" applyBorder="1" applyAlignment="1">
      <alignment horizontal="center"/>
    </xf>
    <xf numFmtId="201" fontId="16" fillId="8" borderId="36" xfId="17" applyNumberFormat="1" applyFont="1" applyFill="1" applyBorder="1" applyAlignment="1">
      <alignment horizontal="center"/>
    </xf>
    <xf numFmtId="201" fontId="16" fillId="8" borderId="37" xfId="15" applyNumberFormat="1" applyFont="1" applyFill="1" applyBorder="1" applyAlignment="1">
      <alignment horizontal="center"/>
    </xf>
    <xf numFmtId="201" fontId="16" fillId="8" borderId="0" xfId="15" applyNumberFormat="1" applyFont="1" applyFill="1" applyBorder="1" applyAlignment="1">
      <alignment horizontal="center"/>
    </xf>
    <xf numFmtId="201" fontId="16" fillId="8" borderId="36" xfId="15" applyNumberFormat="1" applyFont="1" applyFill="1" applyBorder="1" applyAlignment="1">
      <alignment horizontal="center"/>
    </xf>
    <xf numFmtId="5" fontId="16" fillId="8" borderId="37" xfId="17" applyNumberFormat="1" applyFont="1" applyFill="1" applyBorder="1" applyAlignment="1">
      <alignment horizontal="center"/>
    </xf>
    <xf numFmtId="5" fontId="16" fillId="8" borderId="0" xfId="17" applyNumberFormat="1" applyFont="1" applyFill="1" applyBorder="1" applyAlignment="1">
      <alignment horizontal="center"/>
    </xf>
    <xf numFmtId="5" fontId="16" fillId="8" borderId="36" xfId="17" applyNumberFormat="1" applyFont="1" applyFill="1" applyBorder="1" applyAlignment="1">
      <alignment horizontal="center"/>
    </xf>
    <xf numFmtId="9" fontId="16" fillId="8" borderId="37" xfId="24" applyFont="1" applyFill="1" applyBorder="1" applyAlignment="1">
      <alignment horizontal="center"/>
    </xf>
    <xf numFmtId="9" fontId="16" fillId="8" borderId="0" xfId="24" applyFont="1" applyFill="1" applyBorder="1" applyAlignment="1">
      <alignment horizontal="center"/>
    </xf>
    <xf numFmtId="9" fontId="16" fillId="8" borderId="36" xfId="24" applyFont="1" applyFill="1" applyBorder="1" applyAlignment="1">
      <alignment horizontal="center"/>
    </xf>
    <xf numFmtId="176" fontId="16" fillId="8" borderId="39" xfId="24" applyNumberFormat="1" applyFont="1" applyFill="1" applyBorder="1" applyAlignment="1">
      <alignment horizontal="center"/>
    </xf>
    <xf numFmtId="176" fontId="16" fillId="8" borderId="40" xfId="24" applyNumberFormat="1" applyFont="1" applyFill="1" applyBorder="1" applyAlignment="1">
      <alignment horizontal="center"/>
    </xf>
    <xf numFmtId="176" fontId="16" fillId="8" borderId="41" xfId="24" applyNumberFormat="1" applyFont="1" applyFill="1" applyBorder="1" applyAlignment="1">
      <alignment horizontal="center"/>
    </xf>
    <xf numFmtId="0" fontId="21" fillId="0" borderId="0" xfId="23" applyFont="1" applyAlignment="1">
      <alignment horizontal="left"/>
      <protection/>
    </xf>
    <xf numFmtId="0" fontId="22" fillId="0" borderId="28" xfId="23" applyFont="1" applyBorder="1" applyAlignment="1">
      <alignment horizontal="center" wrapText="1"/>
      <protection/>
    </xf>
    <xf numFmtId="0" fontId="22" fillId="0" borderId="29" xfId="23" applyFont="1" applyBorder="1" applyAlignment="1">
      <alignment horizontal="center" wrapText="1"/>
      <protection/>
    </xf>
    <xf numFmtId="0" fontId="22" fillId="0" borderId="30" xfId="23" applyFont="1" applyBorder="1" applyAlignment="1">
      <alignment horizontal="center" wrapText="1"/>
      <protection/>
    </xf>
    <xf numFmtId="0" fontId="16" fillId="0" borderId="32" xfId="23" applyBorder="1" applyAlignment="1">
      <alignment wrapText="1"/>
      <protection/>
    </xf>
    <xf numFmtId="0" fontId="16" fillId="0" borderId="33" xfId="23" applyBorder="1" applyAlignment="1">
      <alignment horizontal="left" wrapText="1"/>
      <protection/>
    </xf>
    <xf numFmtId="164" fontId="16" fillId="6" borderId="37" xfId="23" applyNumberFormat="1" applyFill="1" applyBorder="1" applyAlignment="1">
      <alignment horizontal="center"/>
      <protection/>
    </xf>
    <xf numFmtId="2" fontId="16" fillId="6" borderId="0" xfId="23" applyNumberFormat="1" applyFill="1" applyBorder="1" applyAlignment="1">
      <alignment horizontal="center"/>
      <protection/>
    </xf>
    <xf numFmtId="3" fontId="16" fillId="6" borderId="0" xfId="15" applyNumberFormat="1" applyFill="1" applyBorder="1" applyAlignment="1">
      <alignment horizontal="center"/>
    </xf>
    <xf numFmtId="201" fontId="16" fillId="8" borderId="36" xfId="23" applyNumberFormat="1" applyFill="1" applyBorder="1" applyAlignment="1">
      <alignment horizontal="center"/>
      <protection/>
    </xf>
    <xf numFmtId="0" fontId="16" fillId="0" borderId="37" xfId="23" applyBorder="1">
      <alignment/>
      <protection/>
    </xf>
    <xf numFmtId="0" fontId="16" fillId="0" borderId="36" xfId="23" applyBorder="1">
      <alignment/>
      <protection/>
    </xf>
    <xf numFmtId="164" fontId="16" fillId="6" borderId="39" xfId="23" applyNumberFormat="1" applyFill="1" applyBorder="1" applyAlignment="1">
      <alignment horizontal="center"/>
      <protection/>
    </xf>
    <xf numFmtId="2" fontId="16" fillId="6" borderId="40" xfId="23" applyNumberFormat="1" applyFill="1" applyBorder="1" applyAlignment="1">
      <alignment horizontal="center"/>
      <protection/>
    </xf>
    <xf numFmtId="3" fontId="16" fillId="6" borderId="40" xfId="15" applyNumberFormat="1" applyFill="1" applyBorder="1" applyAlignment="1">
      <alignment horizontal="center"/>
    </xf>
    <xf numFmtId="201" fontId="16" fillId="8" borderId="41" xfId="23" applyNumberFormat="1" applyFill="1" applyBorder="1" applyAlignment="1">
      <alignment horizontal="center"/>
      <protection/>
    </xf>
    <xf numFmtId="0" fontId="16" fillId="0" borderId="39" xfId="23" applyBorder="1">
      <alignment/>
      <protection/>
    </xf>
    <xf numFmtId="0" fontId="16" fillId="0" borderId="41" xfId="23" applyBorder="1">
      <alignment/>
      <protection/>
    </xf>
    <xf numFmtId="10" fontId="16" fillId="0" borderId="0" xfId="24" applyNumberFormat="1" applyAlignment="1">
      <alignment horizontal="center"/>
    </xf>
    <xf numFmtId="9" fontId="16" fillId="0" borderId="0" xfId="24" applyAlignment="1">
      <alignment horizontal="center"/>
    </xf>
    <xf numFmtId="10" fontId="16" fillId="0" borderId="0" xfId="23" applyNumberFormat="1" applyAlignment="1">
      <alignment horizontal="center"/>
      <protection/>
    </xf>
    <xf numFmtId="0" fontId="25" fillId="0" borderId="0" xfId="23" applyFont="1">
      <alignment/>
      <protection/>
    </xf>
    <xf numFmtId="0" fontId="26" fillId="0" borderId="0" xfId="23" applyFont="1">
      <alignment/>
      <protection/>
    </xf>
    <xf numFmtId="0" fontId="25" fillId="6" borderId="5" xfId="23" applyFont="1" applyFill="1" applyBorder="1">
      <alignment/>
      <protection/>
    </xf>
    <xf numFmtId="0" fontId="25" fillId="6" borderId="6" xfId="23" applyFont="1" applyFill="1" applyBorder="1">
      <alignment/>
      <protection/>
    </xf>
    <xf numFmtId="164" fontId="25" fillId="6" borderId="6" xfId="23" applyNumberFormat="1" applyFont="1" applyFill="1" applyBorder="1">
      <alignment/>
      <protection/>
    </xf>
    <xf numFmtId="167" fontId="25" fillId="6" borderId="6" xfId="15" applyNumberFormat="1" applyFont="1" applyFill="1" applyBorder="1" applyAlignment="1">
      <alignment/>
    </xf>
    <xf numFmtId="9" fontId="25" fillId="6" borderId="6" xfId="24" applyFont="1" applyFill="1" applyBorder="1" applyAlignment="1">
      <alignment/>
    </xf>
    <xf numFmtId="43" fontId="25" fillId="6" borderId="6" xfId="15" applyFont="1" applyFill="1" applyBorder="1" applyAlignment="1">
      <alignment/>
    </xf>
    <xf numFmtId="176" fontId="25" fillId="6" borderId="6" xfId="24" applyNumberFormat="1" applyFont="1" applyFill="1" applyBorder="1" applyAlignment="1">
      <alignment/>
    </xf>
    <xf numFmtId="2" fontId="25" fillId="6" borderId="6" xfId="23" applyNumberFormat="1" applyFont="1" applyFill="1" applyBorder="1">
      <alignment/>
      <protection/>
    </xf>
    <xf numFmtId="0" fontId="25" fillId="6" borderId="7" xfId="23" applyFont="1" applyFill="1" applyBorder="1">
      <alignment/>
      <protection/>
    </xf>
    <xf numFmtId="177" fontId="16" fillId="0" borderId="0" xfId="23" applyNumberFormat="1">
      <alignment/>
      <protection/>
    </xf>
    <xf numFmtId="0" fontId="24" fillId="0" borderId="0" xfId="23" applyFont="1" applyAlignment="1">
      <alignment wrapText="1"/>
      <protection/>
    </xf>
    <xf numFmtId="167" fontId="25" fillId="8" borderId="8" xfId="15" applyNumberFormat="1" applyFont="1" applyFill="1" applyBorder="1" applyAlignment="1">
      <alignment/>
    </xf>
    <xf numFmtId="167" fontId="25" fillId="8" borderId="10" xfId="15" applyNumberFormat="1" applyFont="1" applyFill="1" applyBorder="1" applyAlignment="1">
      <alignment/>
    </xf>
    <xf numFmtId="165" fontId="25" fillId="8" borderId="11" xfId="15" applyNumberFormat="1" applyFont="1" applyFill="1" applyBorder="1" applyAlignment="1">
      <alignment/>
    </xf>
    <xf numFmtId="165" fontId="25" fillId="8" borderId="12" xfId="23" applyNumberFormat="1" applyFont="1" applyFill="1" applyBorder="1">
      <alignment/>
      <protection/>
    </xf>
    <xf numFmtId="167" fontId="25" fillId="8" borderId="11" xfId="15" applyNumberFormat="1" applyFont="1" applyFill="1" applyBorder="1" applyAlignment="1">
      <alignment/>
    </xf>
    <xf numFmtId="167" fontId="25" fillId="8" borderId="12" xfId="15" applyNumberFormat="1" applyFont="1" applyFill="1" applyBorder="1" applyAlignment="1">
      <alignment/>
    </xf>
    <xf numFmtId="9" fontId="25" fillId="8" borderId="11" xfId="24" applyFont="1" applyFill="1" applyBorder="1" applyAlignment="1">
      <alignment/>
    </xf>
    <xf numFmtId="9" fontId="25" fillId="8" borderId="12" xfId="24" applyFont="1" applyFill="1" applyBorder="1" applyAlignment="1">
      <alignment/>
    </xf>
    <xf numFmtId="167" fontId="25" fillId="8" borderId="12" xfId="23" applyNumberFormat="1" applyFont="1" applyFill="1" applyBorder="1">
      <alignment/>
      <protection/>
    </xf>
    <xf numFmtId="0" fontId="29" fillId="0" borderId="0" xfId="23" applyFont="1">
      <alignment/>
      <protection/>
    </xf>
    <xf numFmtId="177" fontId="25" fillId="8" borderId="12" xfId="23" applyNumberFormat="1" applyFont="1" applyFill="1" applyBorder="1">
      <alignment/>
      <protection/>
    </xf>
    <xf numFmtId="177" fontId="25" fillId="8" borderId="12" xfId="15" applyNumberFormat="1" applyFont="1" applyFill="1" applyBorder="1" applyAlignment="1">
      <alignment/>
    </xf>
    <xf numFmtId="165" fontId="25" fillId="8" borderId="13" xfId="15" applyNumberFormat="1" applyFont="1" applyFill="1" applyBorder="1" applyAlignment="1">
      <alignment/>
    </xf>
    <xf numFmtId="177" fontId="26" fillId="8" borderId="15" xfId="15" applyNumberFormat="1" applyFont="1" applyFill="1" applyBorder="1" applyAlignment="1">
      <alignment/>
    </xf>
    <xf numFmtId="0" fontId="30" fillId="0" borderId="0" xfId="23" applyFont="1">
      <alignment/>
      <protection/>
    </xf>
    <xf numFmtId="2" fontId="25" fillId="0" borderId="31" xfId="23" applyNumberFormat="1" applyFont="1" applyFill="1" applyBorder="1">
      <alignment/>
      <protection/>
    </xf>
    <xf numFmtId="2" fontId="25" fillId="0" borderId="34" xfId="23" applyNumberFormat="1" applyFont="1" applyFill="1" applyBorder="1">
      <alignment/>
      <protection/>
    </xf>
    <xf numFmtId="0" fontId="25" fillId="0" borderId="34" xfId="23" applyFont="1" applyFill="1" applyBorder="1">
      <alignment/>
      <protection/>
    </xf>
    <xf numFmtId="0" fontId="25" fillId="0" borderId="38" xfId="23" applyFont="1" applyFill="1" applyBorder="1">
      <alignment/>
      <protection/>
    </xf>
    <xf numFmtId="0" fontId="22" fillId="0" borderId="0" xfId="23" applyFont="1" applyAlignment="1">
      <alignment horizontal="right"/>
      <protection/>
    </xf>
    <xf numFmtId="43" fontId="25" fillId="0" borderId="32" xfId="15" applyNumberFormat="1" applyFont="1" applyFill="1" applyBorder="1" applyAlignment="1">
      <alignment horizontal="right"/>
    </xf>
    <xf numFmtId="43" fontId="25" fillId="0" borderId="33" xfId="15" applyNumberFormat="1" applyFont="1" applyFill="1" applyBorder="1" applyAlignment="1">
      <alignment horizontal="right"/>
    </xf>
    <xf numFmtId="43" fontId="25" fillId="0" borderId="37" xfId="15" applyNumberFormat="1" applyFont="1" applyFill="1" applyBorder="1" applyAlignment="1">
      <alignment horizontal="right"/>
    </xf>
    <xf numFmtId="43" fontId="25" fillId="0" borderId="36" xfId="15" applyNumberFormat="1" applyFont="1" applyFill="1" applyBorder="1" applyAlignment="1">
      <alignment horizontal="right"/>
    </xf>
    <xf numFmtId="167" fontId="25" fillId="0" borderId="37" xfId="15" applyNumberFormat="1" applyFont="1" applyFill="1" applyBorder="1" applyAlignment="1">
      <alignment/>
    </xf>
    <xf numFmtId="167" fontId="25" fillId="0" borderId="36" xfId="15" applyNumberFormat="1" applyFont="1" applyFill="1" applyBorder="1" applyAlignment="1">
      <alignment/>
    </xf>
    <xf numFmtId="0" fontId="16" fillId="0" borderId="39" xfId="23" applyFill="1" applyBorder="1">
      <alignment/>
      <protection/>
    </xf>
    <xf numFmtId="43" fontId="25" fillId="0" borderId="41" xfId="23" applyNumberFormat="1" applyFont="1" applyFill="1" applyBorder="1">
      <alignment/>
      <protection/>
    </xf>
    <xf numFmtId="0" fontId="16" fillId="0" borderId="0" xfId="23" applyFill="1">
      <alignment/>
      <protection/>
    </xf>
    <xf numFmtId="43" fontId="25" fillId="0" borderId="0" xfId="23" applyNumberFormat="1" applyFont="1" applyFill="1">
      <alignment/>
      <protection/>
    </xf>
    <xf numFmtId="8" fontId="16" fillId="0" borderId="0" xfId="23" applyNumberFormat="1">
      <alignment/>
      <protection/>
    </xf>
    <xf numFmtId="177" fontId="16" fillId="0" borderId="0" xfId="15" applyNumberFormat="1" applyAlignment="1">
      <alignment/>
    </xf>
    <xf numFmtId="177" fontId="16" fillId="0" borderId="32" xfId="15" applyNumberFormat="1" applyBorder="1" applyAlignment="1">
      <alignment/>
    </xf>
    <xf numFmtId="177" fontId="16" fillId="0" borderId="33" xfId="15" applyNumberFormat="1" applyBorder="1" applyAlignment="1">
      <alignment/>
    </xf>
    <xf numFmtId="177" fontId="16" fillId="0" borderId="37" xfId="15" applyNumberFormat="1" applyBorder="1" applyAlignment="1">
      <alignment/>
    </xf>
    <xf numFmtId="177" fontId="16" fillId="0" borderId="36" xfId="15" applyNumberFormat="1" applyBorder="1" applyAlignment="1">
      <alignment/>
    </xf>
    <xf numFmtId="177" fontId="16" fillId="0" borderId="39" xfId="15" applyNumberFormat="1" applyBorder="1" applyAlignment="1">
      <alignment/>
    </xf>
    <xf numFmtId="177" fontId="16" fillId="0" borderId="41" xfId="15" applyNumberFormat="1" applyBorder="1" applyAlignment="1">
      <alignment/>
    </xf>
    <xf numFmtId="0" fontId="25" fillId="0" borderId="5" xfId="23" applyFont="1" applyFill="1" applyBorder="1">
      <alignment/>
      <protection/>
    </xf>
    <xf numFmtId="0" fontId="25" fillId="0" borderId="0" xfId="23" applyFont="1" applyFill="1" applyBorder="1">
      <alignment/>
      <protection/>
    </xf>
    <xf numFmtId="0" fontId="25" fillId="0" borderId="6" xfId="23" applyFont="1" applyFill="1" applyBorder="1">
      <alignment/>
      <protection/>
    </xf>
    <xf numFmtId="167" fontId="25" fillId="0" borderId="6" xfId="15" applyNumberFormat="1" applyFont="1" applyFill="1" applyBorder="1" applyAlignment="1">
      <alignment/>
    </xf>
    <xf numFmtId="196" fontId="25" fillId="6" borderId="6" xfId="24" applyNumberFormat="1" applyFont="1" applyFill="1" applyBorder="1" applyAlignment="1">
      <alignment/>
    </xf>
    <xf numFmtId="9" fontId="25" fillId="0" borderId="6" xfId="24" applyFont="1" applyFill="1" applyBorder="1" applyAlignment="1">
      <alignment/>
    </xf>
    <xf numFmtId="43" fontId="25" fillId="0" borderId="6" xfId="15" applyFont="1" applyFill="1" applyBorder="1" applyAlignment="1">
      <alignment/>
    </xf>
    <xf numFmtId="176" fontId="25" fillId="0" borderId="6" xfId="24" applyNumberFormat="1" applyFont="1" applyFill="1" applyBorder="1" applyAlignment="1">
      <alignment/>
    </xf>
    <xf numFmtId="2" fontId="25" fillId="0" borderId="6" xfId="23" applyNumberFormat="1" applyFont="1" applyFill="1" applyBorder="1">
      <alignment/>
      <protection/>
    </xf>
    <xf numFmtId="0" fontId="25" fillId="0" borderId="7" xfId="23" applyFont="1" applyFill="1" applyBorder="1">
      <alignment/>
      <protection/>
    </xf>
    <xf numFmtId="0" fontId="16" fillId="0" borderId="0" xfId="23" applyFill="1" applyBorder="1">
      <alignment/>
      <protection/>
    </xf>
    <xf numFmtId="167" fontId="25" fillId="0" borderId="0" xfId="23" applyNumberFormat="1" applyFont="1">
      <alignment/>
      <protection/>
    </xf>
    <xf numFmtId="0" fontId="24" fillId="0" borderId="0" xfId="23" applyFont="1">
      <alignment/>
      <protection/>
    </xf>
    <xf numFmtId="43" fontId="16" fillId="0" borderId="0" xfId="23" applyNumberFormat="1">
      <alignment/>
      <protection/>
    </xf>
    <xf numFmtId="43" fontId="25" fillId="8" borderId="11" xfId="15" applyNumberFormat="1" applyFont="1" applyFill="1" applyBorder="1" applyAlignment="1">
      <alignment/>
    </xf>
    <xf numFmtId="43" fontId="25" fillId="8" borderId="12" xfId="15" applyNumberFormat="1" applyFont="1" applyFill="1" applyBorder="1" applyAlignment="1">
      <alignment/>
    </xf>
    <xf numFmtId="10" fontId="25" fillId="8" borderId="11" xfId="24" applyNumberFormat="1" applyFont="1" applyFill="1" applyBorder="1" applyAlignment="1">
      <alignment/>
    </xf>
    <xf numFmtId="10" fontId="25" fillId="8" borderId="12" xfId="24" applyNumberFormat="1" applyFont="1" applyFill="1" applyBorder="1" applyAlignment="1">
      <alignment/>
    </xf>
    <xf numFmtId="165" fontId="25" fillId="8" borderId="12" xfId="15" applyNumberFormat="1" applyFont="1" applyFill="1" applyBorder="1" applyAlignment="1">
      <alignment/>
    </xf>
    <xf numFmtId="167" fontId="25" fillId="8" borderId="11" xfId="15" applyNumberFormat="1" applyFont="1" applyFill="1" applyBorder="1" applyAlignment="1">
      <alignment horizontal="right"/>
    </xf>
    <xf numFmtId="167" fontId="25" fillId="8" borderId="12" xfId="15" applyNumberFormat="1" applyFont="1" applyFill="1" applyBorder="1" applyAlignment="1">
      <alignment horizontal="right"/>
    </xf>
    <xf numFmtId="9" fontId="25" fillId="8" borderId="11" xfId="24" applyFont="1" applyFill="1" applyBorder="1" applyAlignment="1">
      <alignment horizontal="right"/>
    </xf>
    <xf numFmtId="9" fontId="25" fillId="8" borderId="12" xfId="24" applyFont="1" applyFill="1" applyBorder="1" applyAlignment="1">
      <alignment horizontal="right"/>
    </xf>
    <xf numFmtId="0" fontId="16" fillId="0" borderId="0" xfId="23" quotePrefix="1">
      <alignment/>
      <protection/>
    </xf>
    <xf numFmtId="0" fontId="21" fillId="0" borderId="0" xfId="23" applyFont="1" quotePrefix="1">
      <alignment/>
      <protection/>
    </xf>
    <xf numFmtId="0" fontId="30" fillId="0" borderId="0" xfId="23" applyFont="1" applyAlignment="1" quotePrefix="1">
      <alignment horizontal="left"/>
      <protection/>
    </xf>
    <xf numFmtId="1" fontId="25" fillId="0" borderId="34" xfId="23" applyNumberFormat="1" applyFont="1" applyFill="1" applyBorder="1">
      <alignment/>
      <protection/>
    </xf>
    <xf numFmtId="0" fontId="16" fillId="0" borderId="39" xfId="23" applyBorder="1" quotePrefix="1">
      <alignment/>
      <protection/>
    </xf>
    <xf numFmtId="43" fontId="25" fillId="0" borderId="41" xfId="23" applyNumberFormat="1" applyFont="1" applyBorder="1">
      <alignment/>
      <protection/>
    </xf>
    <xf numFmtId="0" fontId="21" fillId="0" borderId="0" xfId="23" applyFont="1" applyAlignment="1">
      <alignment horizontal="right"/>
      <protection/>
    </xf>
    <xf numFmtId="0" fontId="16" fillId="6" borderId="8" xfId="23" applyFill="1" applyBorder="1">
      <alignment/>
      <protection/>
    </xf>
    <xf numFmtId="0" fontId="16" fillId="6" borderId="9" xfId="23" applyFill="1" applyBorder="1">
      <alignment/>
      <protection/>
    </xf>
    <xf numFmtId="0" fontId="16" fillId="6" borderId="10" xfId="23" applyFill="1" applyBorder="1">
      <alignment/>
      <protection/>
    </xf>
    <xf numFmtId="0" fontId="16" fillId="6" borderId="11" xfId="23" applyFill="1" applyBorder="1">
      <alignment/>
      <protection/>
    </xf>
    <xf numFmtId="0" fontId="16" fillId="6" borderId="0" xfId="23" applyFill="1" applyBorder="1">
      <alignment/>
      <protection/>
    </xf>
    <xf numFmtId="0" fontId="16" fillId="6" borderId="12" xfId="23" applyFill="1" applyBorder="1">
      <alignment/>
      <protection/>
    </xf>
    <xf numFmtId="176" fontId="22" fillId="8" borderId="13" xfId="24" applyNumberFormat="1" applyFont="1" applyFill="1" applyBorder="1" applyAlignment="1">
      <alignment/>
    </xf>
    <xf numFmtId="176" fontId="22" fillId="8" borderId="14" xfId="24" applyNumberFormat="1" applyFont="1" applyFill="1" applyBorder="1" applyAlignment="1">
      <alignment/>
    </xf>
    <xf numFmtId="176" fontId="22" fillId="8" borderId="15" xfId="24" applyNumberFormat="1" applyFont="1" applyFill="1" applyBorder="1" applyAlignment="1">
      <alignment/>
    </xf>
    <xf numFmtId="0" fontId="16" fillId="0" borderId="0" xfId="23" applyAlignment="1">
      <alignment wrapText="1"/>
      <protection/>
    </xf>
    <xf numFmtId="0" fontId="16" fillId="0" borderId="0" xfId="23" applyBorder="1">
      <alignment/>
      <protection/>
    </xf>
    <xf numFmtId="164" fontId="16" fillId="6" borderId="8" xfId="23" applyNumberFormat="1" applyFill="1" applyBorder="1">
      <alignment/>
      <protection/>
    </xf>
    <xf numFmtId="1" fontId="16" fillId="8" borderId="10" xfId="23" applyNumberFormat="1" applyFill="1" applyBorder="1">
      <alignment/>
      <protection/>
    </xf>
    <xf numFmtId="164" fontId="16" fillId="6" borderId="13" xfId="23" applyNumberFormat="1" applyFill="1" applyBorder="1">
      <alignment/>
      <protection/>
    </xf>
    <xf numFmtId="1" fontId="16" fillId="8" borderId="15" xfId="23" applyNumberFormat="1" applyFill="1" applyBorder="1">
      <alignment/>
      <protection/>
    </xf>
    <xf numFmtId="0" fontId="25" fillId="0" borderId="0" xfId="23" applyFont="1" applyAlignment="1">
      <alignment vertical="center"/>
      <protection/>
    </xf>
    <xf numFmtId="0" fontId="16" fillId="0" borderId="0" xfId="23" applyAlignment="1">
      <alignment vertical="center"/>
      <protection/>
    </xf>
    <xf numFmtId="0" fontId="31" fillId="0" borderId="0" xfId="23" applyFont="1" applyAlignment="1">
      <alignment horizontal="justify" vertical="center"/>
      <protection/>
    </xf>
    <xf numFmtId="0" fontId="16" fillId="0" borderId="0" xfId="23" applyAlignment="1">
      <alignment vertical="center"/>
      <protection/>
    </xf>
    <xf numFmtId="0" fontId="26" fillId="6" borderId="42" xfId="23" applyFont="1" applyFill="1" applyBorder="1" applyAlignment="1">
      <alignment vertical="center" wrapText="1"/>
      <protection/>
    </xf>
    <xf numFmtId="0" fontId="26" fillId="6" borderId="43" xfId="23" applyFont="1" applyFill="1" applyBorder="1" applyAlignment="1">
      <alignment horizontal="center" vertical="center" wrapText="1"/>
      <protection/>
    </xf>
    <xf numFmtId="0" fontId="16" fillId="6" borderId="43" xfId="23" applyFill="1" applyBorder="1" applyAlignment="1">
      <alignment vertical="center"/>
      <protection/>
    </xf>
    <xf numFmtId="0" fontId="26" fillId="6" borderId="44" xfId="23" applyFont="1" applyFill="1" applyBorder="1" applyAlignment="1">
      <alignment vertical="center" wrapText="1"/>
      <protection/>
    </xf>
    <xf numFmtId="0" fontId="26" fillId="0" borderId="11" xfId="23" applyFont="1" applyBorder="1" applyAlignment="1">
      <alignment vertical="center" wrapText="1"/>
      <protection/>
    </xf>
    <xf numFmtId="0" fontId="24" fillId="0" borderId="0" xfId="23" applyFont="1" applyBorder="1" applyAlignment="1">
      <alignment horizontal="center" vertical="center" wrapText="1"/>
      <protection/>
    </xf>
    <xf numFmtId="0" fontId="24" fillId="0" borderId="0" xfId="23" applyFont="1" applyBorder="1" applyAlignment="1">
      <alignment horizontal="center" vertical="center"/>
      <protection/>
    </xf>
    <xf numFmtId="0" fontId="25" fillId="0" borderId="12" xfId="23" applyFont="1" applyBorder="1" applyAlignment="1">
      <alignment vertical="center"/>
      <protection/>
    </xf>
    <xf numFmtId="0" fontId="25" fillId="0" borderId="11" xfId="23" applyFont="1" applyBorder="1" applyAlignment="1">
      <alignment horizontal="justify" vertical="center" wrapText="1"/>
      <protection/>
    </xf>
    <xf numFmtId="0" fontId="25" fillId="0" borderId="0" xfId="23" applyFont="1" applyBorder="1" applyAlignment="1">
      <alignment horizontal="center" vertical="center" wrapText="1"/>
      <protection/>
    </xf>
    <xf numFmtId="173" fontId="25" fillId="0" borderId="0" xfId="23" applyNumberFormat="1" applyFont="1" applyBorder="1" applyAlignment="1">
      <alignment horizontal="center" vertical="center"/>
      <protection/>
    </xf>
    <xf numFmtId="164" fontId="25" fillId="0" borderId="0" xfId="23" applyNumberFormat="1" applyFont="1" applyBorder="1" applyAlignment="1">
      <alignment horizontal="center" vertical="center"/>
      <protection/>
    </xf>
    <xf numFmtId="9" fontId="25" fillId="0" borderId="12" xfId="24" applyFont="1" applyBorder="1" applyAlignment="1">
      <alignment horizontal="center" vertical="center"/>
    </xf>
    <xf numFmtId="0" fontId="24" fillId="8" borderId="13" xfId="23" applyFont="1" applyFill="1" applyBorder="1" applyAlignment="1">
      <alignment horizontal="justify" vertical="center" wrapText="1"/>
      <protection/>
    </xf>
    <xf numFmtId="0" fontId="24" fillId="8" borderId="14" xfId="23" applyFont="1" applyFill="1" applyBorder="1" applyAlignment="1">
      <alignment horizontal="center" vertical="center" wrapText="1"/>
      <protection/>
    </xf>
    <xf numFmtId="173" fontId="24" fillId="8" borderId="14" xfId="23" applyNumberFormat="1" applyFont="1" applyFill="1" applyBorder="1" applyAlignment="1">
      <alignment horizontal="center" vertical="center"/>
      <protection/>
    </xf>
    <xf numFmtId="164" fontId="24" fillId="8" borderId="14" xfId="23" applyNumberFormat="1" applyFont="1" applyFill="1" applyBorder="1" applyAlignment="1">
      <alignment horizontal="center" vertical="center"/>
      <protection/>
    </xf>
    <xf numFmtId="0" fontId="25" fillId="8" borderId="15" xfId="23" applyFont="1" applyFill="1" applyBorder="1" applyAlignment="1">
      <alignment vertical="center"/>
      <protection/>
    </xf>
    <xf numFmtId="0" fontId="25" fillId="6" borderId="5" xfId="23" applyFont="1" applyFill="1" applyBorder="1" applyAlignment="1">
      <alignment vertical="center"/>
      <protection/>
    </xf>
    <xf numFmtId="167" fontId="25" fillId="6" borderId="6" xfId="15" applyNumberFormat="1" applyFont="1" applyFill="1" applyBorder="1" applyAlignment="1">
      <alignment vertical="center"/>
    </xf>
    <xf numFmtId="0" fontId="25" fillId="6" borderId="6" xfId="23" applyFont="1" applyFill="1" applyBorder="1" applyAlignment="1">
      <alignment vertical="center"/>
      <protection/>
    </xf>
    <xf numFmtId="173" fontId="25" fillId="6" borderId="6" xfId="23" applyNumberFormat="1" applyFont="1" applyFill="1" applyBorder="1" applyAlignment="1">
      <alignment vertical="center"/>
      <protection/>
    </xf>
    <xf numFmtId="164" fontId="25" fillId="6" borderId="6" xfId="23" applyNumberFormat="1" applyFont="1" applyFill="1" applyBorder="1" applyAlignment="1">
      <alignment vertical="center"/>
      <protection/>
    </xf>
    <xf numFmtId="167" fontId="25" fillId="8" borderId="6" xfId="15" applyNumberFormat="1" applyFont="1" applyFill="1" applyBorder="1" applyAlignment="1">
      <alignment vertical="center"/>
    </xf>
    <xf numFmtId="167" fontId="25" fillId="8" borderId="6" xfId="23" applyNumberFormat="1" applyFont="1" applyFill="1" applyBorder="1" applyAlignment="1">
      <alignment vertical="center"/>
      <protection/>
    </xf>
    <xf numFmtId="167" fontId="25" fillId="8" borderId="7" xfId="23" applyNumberFormat="1" applyFont="1" applyFill="1" applyBorder="1" applyAlignment="1">
      <alignment vertical="center"/>
      <protection/>
    </xf>
  </cellXfs>
  <cellStyles count="11">
    <cellStyle name="Normal" xfId="0"/>
    <cellStyle name="Comma" xfId="15"/>
    <cellStyle name="Comma [0]" xfId="16"/>
    <cellStyle name="Currency" xfId="17"/>
    <cellStyle name="Currency [0]" xfId="18"/>
    <cellStyle name="Followed Hyperlink" xfId="19"/>
    <cellStyle name="Followed Hyperlink_100% WWS analysis -- generation costs, V2G cost, battery materials.xls" xfId="20"/>
    <cellStyle name="Hyperlink" xfId="21"/>
    <cellStyle name="Hyperlink_100% WWS analysis -- generation costs, V2G cost, battery materials.xls" xfId="22"/>
    <cellStyle name="Normal_100% WWS analysis -- generation costs, V2G cost, battery materials.xl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P63"/>
  <sheetViews>
    <sheetView tabSelected="1" zoomScale="150" zoomScaleNormal="150" workbookViewId="0" topLeftCell="A2">
      <selection activeCell="I42" sqref="I42"/>
    </sheetView>
  </sheetViews>
  <sheetFormatPr defaultColWidth="11.421875" defaultRowHeight="12.75"/>
  <cols>
    <col min="1" max="1" width="23.140625" style="0" customWidth="1"/>
    <col min="2" max="2" width="8.421875" style="96" customWidth="1"/>
    <col min="3" max="3" width="8.140625" style="96" customWidth="1"/>
    <col min="4" max="4" width="7.7109375" style="96" customWidth="1"/>
    <col min="5" max="5" width="7.140625" style="96" customWidth="1"/>
    <col min="6" max="6" width="8.421875" style="96" customWidth="1"/>
    <col min="7" max="8" width="8.8515625" style="96" customWidth="1"/>
    <col min="9" max="9" width="8.421875" style="96" customWidth="1"/>
    <col min="10" max="10" width="8.8515625" style="96" customWidth="1"/>
    <col min="11" max="11" width="9.7109375" style="96" customWidth="1"/>
    <col min="12" max="13" width="8.8515625" style="96" customWidth="1"/>
    <col min="14" max="17" width="9.421875" style="0" customWidth="1"/>
  </cols>
  <sheetData>
    <row r="1" spans="2:11" ht="18.75" customHeight="1">
      <c r="B1" s="118" t="s">
        <v>497</v>
      </c>
      <c r="H1" s="97"/>
      <c r="I1" s="97"/>
      <c r="J1" s="97"/>
      <c r="K1" s="97"/>
    </row>
    <row r="2" spans="1:16" ht="27.75" customHeight="1">
      <c r="A2" s="1" t="s">
        <v>439</v>
      </c>
      <c r="B2" s="97" t="s">
        <v>352</v>
      </c>
      <c r="D2" s="97" t="s">
        <v>353</v>
      </c>
      <c r="F2" s="98" t="s">
        <v>376</v>
      </c>
      <c r="G2" s="98" t="s">
        <v>427</v>
      </c>
      <c r="H2" s="98" t="s">
        <v>377</v>
      </c>
      <c r="I2" s="98" t="s">
        <v>314</v>
      </c>
      <c r="J2" s="98" t="s">
        <v>221</v>
      </c>
      <c r="K2" s="98" t="s">
        <v>223</v>
      </c>
      <c r="L2" s="97" t="s">
        <v>428</v>
      </c>
      <c r="P2" s="1"/>
    </row>
    <row r="3" spans="1:13" ht="21" customHeight="1">
      <c r="A3" s="10"/>
      <c r="B3" s="98">
        <v>2010</v>
      </c>
      <c r="C3" s="98">
        <v>2030</v>
      </c>
      <c r="D3" s="98">
        <v>2010</v>
      </c>
      <c r="E3" s="98">
        <v>2030</v>
      </c>
      <c r="L3" s="98" t="s">
        <v>429</v>
      </c>
      <c r="M3" s="98" t="s">
        <v>430</v>
      </c>
    </row>
    <row r="4" spans="1:13" ht="12">
      <c r="A4" s="1"/>
      <c r="F4" s="99"/>
      <c r="G4" s="99"/>
      <c r="H4" s="99"/>
      <c r="I4" s="99"/>
      <c r="J4" s="99"/>
      <c r="K4" s="99"/>
      <c r="L4" s="99"/>
      <c r="M4" s="99"/>
    </row>
    <row r="5" ht="12">
      <c r="A5" s="1" t="s">
        <v>440</v>
      </c>
    </row>
    <row r="6" spans="1:13" ht="12">
      <c r="A6" t="s">
        <v>342</v>
      </c>
      <c r="B6" s="100">
        <f>'Table F1 -- world energy'!C14*0.2931*1000/8760</f>
        <v>0.3446267123287672</v>
      </c>
      <c r="C6" s="100">
        <f>'Table F1 -- world energy'!G14*0.2931*1000/8760</f>
        <v>0.3713938356164384</v>
      </c>
      <c r="D6" s="101">
        <f>'Table F3 -- US energy'!C14*0.2931*1000/8760</f>
        <v>0.04349657534246576</v>
      </c>
      <c r="E6" s="101">
        <f>'Table F3 -- US energy'!G14*0.2931*1000/8760</f>
        <v>0.04349657534246576</v>
      </c>
      <c r="F6" s="102">
        <v>0.95</v>
      </c>
      <c r="G6" s="103">
        <f>'End use and other factors'!A$4/'End use and other factors'!A$5</f>
        <v>0.8247422680412372</v>
      </c>
      <c r="H6" s="103">
        <f>'End use and other factors'!A$4/'End use and other factors'!A$7/'End use and other factors'!A$6</f>
        <v>1.4285714285714286</v>
      </c>
      <c r="I6" s="103">
        <f>J6</f>
        <v>1</v>
      </c>
      <c r="J6" s="103">
        <v>1</v>
      </c>
      <c r="K6" s="102">
        <v>0.9</v>
      </c>
      <c r="L6" s="104">
        <f>$C6*$K6*($F6*$G6*$I6+(1-$F6)*$H6*$J6)</f>
        <v>0.28576540414993856</v>
      </c>
      <c r="M6" s="104">
        <f>$E6*$K6*($F6*$G6*$I6+(1-$F6)*$H6*$J6)</f>
        <v>0.03346802030584865</v>
      </c>
    </row>
    <row r="7" spans="1:13" ht="12">
      <c r="A7" t="s">
        <v>441</v>
      </c>
      <c r="B7" s="100">
        <f>'Table F1 -- world energy'!C15*0.2931*1000/8760</f>
        <v>0.6859075342465754</v>
      </c>
      <c r="C7" s="100">
        <f>'Table F1 -- world energy'!G15*0.2931*1000/8760</f>
        <v>0.8431643835616439</v>
      </c>
      <c r="D7" s="101">
        <f>'Table F3 -- US energy'!C15*0.2931*1000/8760</f>
        <v>0.16394863013698632</v>
      </c>
      <c r="E7" s="101">
        <f>'Table F3 -- US energy'!G15*0.2931*1000/8760</f>
        <v>0.17733219178082194</v>
      </c>
      <c r="F7" s="102">
        <v>0.95</v>
      </c>
      <c r="G7" s="103">
        <f>'End use and other factors'!A$4/'End use and other factors'!A$5</f>
        <v>0.8247422680412372</v>
      </c>
      <c r="H7" s="103">
        <f>'End use and other factors'!A$4/'End use and other factors'!A$7/'End use and other factors'!A$6</f>
        <v>1.4285714285714286</v>
      </c>
      <c r="I7" s="103">
        <f>J7</f>
        <v>1</v>
      </c>
      <c r="J7" s="103">
        <v>1</v>
      </c>
      <c r="K7" s="102">
        <v>0.85</v>
      </c>
      <c r="L7" s="104">
        <f>$C7*$K7*($F7*$G7*$I7+(1-$F7)*$H7*$J7)</f>
        <v>0.6127222179070754</v>
      </c>
      <c r="M7" s="104">
        <f>$E7*$K7*($F7*$G7*$I7+(1-$F7)*$H7*$J7)</f>
        <v>0.1288661807502976</v>
      </c>
    </row>
    <row r="8" spans="1:13" ht="12">
      <c r="A8" t="s">
        <v>442</v>
      </c>
      <c r="B8" s="100">
        <f>'Table F1 -- world energy'!C16*0.2931*1000/8760</f>
        <v>0.11041438356164383</v>
      </c>
      <c r="C8" s="100">
        <f>'Table F1 -- world energy'!G16*0.2931*1000/8760</f>
        <v>0.11041438356164383</v>
      </c>
      <c r="D8" s="101">
        <f>'Table F3 -- US energy'!C16*0.2931*1000/8760</f>
        <v>0</v>
      </c>
      <c r="E8" s="101">
        <f>'Table F3 -- US energy'!G16*0.2931*1000/8760</f>
        <v>0</v>
      </c>
      <c r="F8" s="102">
        <v>1</v>
      </c>
      <c r="G8" s="103">
        <f>'End use and other factors'!A$4/'End use and other factors'!A$5</f>
        <v>0.8247422680412372</v>
      </c>
      <c r="H8" s="103">
        <f>'End use and other factors'!A$4/'End use and other factors'!A$7/'End use and other factors'!A$6</f>
        <v>1.4285714285714286</v>
      </c>
      <c r="I8" s="103">
        <f>J8</f>
        <v>1</v>
      </c>
      <c r="J8" s="103">
        <v>1</v>
      </c>
      <c r="K8" s="102">
        <v>0.9</v>
      </c>
      <c r="L8" s="104">
        <f>$C8*$K8*($F8*$G8*$I8+(1-$F8)*$H8*$J8)</f>
        <v>0.08195706821070471</v>
      </c>
      <c r="M8" s="104">
        <f>$E8*$K8*($F8*$G8*$I8+(1-$F8)*$H8*$J8)</f>
        <v>0</v>
      </c>
    </row>
    <row r="9" spans="1:13" ht="12">
      <c r="A9" s="4" t="s">
        <v>320</v>
      </c>
      <c r="B9" s="100">
        <f>'Table F1 -- world energy'!C17*0.2931*1000/8760</f>
        <v>0.6056061643835617</v>
      </c>
      <c r="C9" s="100">
        <f>'Table F1 -- world energy'!G17*0.2931*1000/8760</f>
        <v>0.9167739726027399</v>
      </c>
      <c r="D9" s="101">
        <f>'Table F3 -- US energy'!C17*0.2931*1000/8760</f>
        <v>0.16394863013698632</v>
      </c>
      <c r="E9" s="101">
        <f>'Table F3 -- US energy'!G17*0.2931*1000/8760</f>
        <v>0.19740753424657537</v>
      </c>
      <c r="F9" s="102">
        <v>1</v>
      </c>
      <c r="G9" s="103">
        <v>1</v>
      </c>
      <c r="H9" s="103">
        <v>1</v>
      </c>
      <c r="I9" s="103">
        <f>J9</f>
        <v>1</v>
      </c>
      <c r="J9" s="103">
        <v>1</v>
      </c>
      <c r="K9" s="102">
        <v>0.9</v>
      </c>
      <c r="L9" s="104">
        <f>$C9*$K9*($F9*$G9*$I9+(1-$F9)*$H9*$J9)</f>
        <v>0.8250965753424658</v>
      </c>
      <c r="M9" s="104">
        <f>$E9*$K9*($F9*$G9*$I9+(1-$F9)*$H9*$J9)</f>
        <v>0.17766678082191784</v>
      </c>
    </row>
    <row r="10" spans="1:13" ht="12">
      <c r="A10" t="s">
        <v>333</v>
      </c>
      <c r="B10" s="100">
        <f>'Table F1 -- world energy'!C18*0.2931*1000/8760</f>
        <v>0.02342123287671233</v>
      </c>
      <c r="C10" s="100">
        <f>'Table F1 -- world energy'!G18*0.2931*1000/8760</f>
        <v>0.020075342465753425</v>
      </c>
      <c r="D10" s="101">
        <f>'Table F3 -- US energy'!C18*0.2931*1000/8760</f>
        <v>0.013383561643835617</v>
      </c>
      <c r="E10" s="101">
        <f>'Table F3 -- US energy'!G18*0.2931*1000/8760</f>
        <v>0.013383561643835617</v>
      </c>
      <c r="F10" s="102">
        <v>0.5</v>
      </c>
      <c r="G10" s="103">
        <f>'End use and other factors'!A$4/'End use and other factors'!A$5</f>
        <v>0.8247422680412372</v>
      </c>
      <c r="H10" s="103">
        <f>'End use and other factors'!A$4/'End use and other factors'!A$7/'End use and other factors'!A$6</f>
        <v>1.4285714285714286</v>
      </c>
      <c r="I10" s="103">
        <f>J10</f>
        <v>1</v>
      </c>
      <c r="J10" s="103">
        <v>1</v>
      </c>
      <c r="K10" s="102">
        <v>0.9</v>
      </c>
      <c r="L10" s="104">
        <f>$C10*$K10*($F10*$G10*$I10+(1-$F10)*$H10*$J10)</f>
        <v>0.020356219864022435</v>
      </c>
      <c r="M10" s="104">
        <f>$E10*$K10*($F10*$G10*$I10+(1-$F10)*$H10*$J10)</f>
        <v>0.013570813242681624</v>
      </c>
    </row>
    <row r="11" spans="1:13" ht="12">
      <c r="A11" s="1" t="s">
        <v>334</v>
      </c>
      <c r="B11" s="105">
        <f>SUM(B6:B10)</f>
        <v>1.7699760273972605</v>
      </c>
      <c r="C11" s="105">
        <f>SUM(C6:C10)</f>
        <v>2.2618219178082195</v>
      </c>
      <c r="D11" s="105">
        <f>SUM(D6:D10)</f>
        <v>0.38477739726027405</v>
      </c>
      <c r="E11" s="105">
        <f>SUM(E6:E10)</f>
        <v>0.4316198630136987</v>
      </c>
      <c r="F11" s="102"/>
      <c r="G11" s="106"/>
      <c r="H11" s="106"/>
      <c r="I11" s="106"/>
      <c r="J11" s="106"/>
      <c r="K11" s="102"/>
      <c r="L11" s="107">
        <f>SUM(L6:L10)</f>
        <v>1.8258974854742067</v>
      </c>
      <c r="M11" s="107">
        <f>SUM(M6:M10)</f>
        <v>0.3535717951207457</v>
      </c>
    </row>
    <row r="12" spans="1:13" ht="12">
      <c r="A12" s="1" t="s">
        <v>335</v>
      </c>
      <c r="B12" s="100"/>
      <c r="C12" s="100"/>
      <c r="D12" s="101"/>
      <c r="E12" s="101"/>
      <c r="F12" s="102"/>
      <c r="G12" s="106"/>
      <c r="H12" s="106"/>
      <c r="I12" s="106"/>
      <c r="J12" s="106"/>
      <c r="K12" s="102"/>
      <c r="L12" s="104"/>
      <c r="M12" s="103"/>
    </row>
    <row r="13" spans="1:13" ht="12">
      <c r="A13" s="4" t="s">
        <v>342</v>
      </c>
      <c r="B13" s="100">
        <f>'Table F1 -- world energy'!C21*0.2931*1000/8760</f>
        <v>0.16394863013698632</v>
      </c>
      <c r="C13" s="100">
        <f>'Table F1 -- world energy'!G21*0.2931*1000/8760</f>
        <v>0.17733219178082194</v>
      </c>
      <c r="D13" s="101">
        <f>'Table F3 -- US energy'!C21*0.2931*1000/8760</f>
        <v>0.020075342465753425</v>
      </c>
      <c r="E13" s="101">
        <f>'Table F3 -- US energy'!G21*0.2931*1000/8760</f>
        <v>0.02342123287671233</v>
      </c>
      <c r="F13" s="102">
        <v>0.9</v>
      </c>
      <c r="G13" s="103">
        <f>'End use and other factors'!A$4/'End use and other factors'!A$5</f>
        <v>0.8247422680412372</v>
      </c>
      <c r="H13" s="103">
        <f>'End use and other factors'!A$4/'End use and other factors'!A$7/'End use and other factors'!A$6</f>
        <v>1.4285714285714286</v>
      </c>
      <c r="I13" s="103">
        <f>J13</f>
        <v>1</v>
      </c>
      <c r="J13" s="103">
        <v>1</v>
      </c>
      <c r="K13" s="102">
        <v>0.95</v>
      </c>
      <c r="L13" s="104">
        <f>$C13*$K13*($F13*$G13*$I13+(1-$F13)*$H13*$J13)</f>
        <v>0.14911312945104607</v>
      </c>
      <c r="M13" s="104">
        <f>$E13*$K13*($F13*$G13*$I13+(1-$F13)*$H13*$J13)</f>
        <v>0.019694186908628727</v>
      </c>
    </row>
    <row r="14" spans="1:13" ht="12">
      <c r="A14" s="4" t="s">
        <v>441</v>
      </c>
      <c r="B14" s="100">
        <f>'Table F1 -- world energy'!C22*0.2931*1000/8760</f>
        <v>0.2542876712328767</v>
      </c>
      <c r="C14" s="100">
        <f>'Table F1 -- world energy'!G22*0.2931*1000/8760</f>
        <v>0.3212054794520548</v>
      </c>
      <c r="D14" s="101">
        <f>'Table F3 -- US energy'!C22*0.2931*1000/8760</f>
        <v>0.10037671232876713</v>
      </c>
      <c r="E14" s="101">
        <f>'Table F3 -- US energy'!G22*0.2931*1000/8760</f>
        <v>0.12714383561643836</v>
      </c>
      <c r="F14" s="102">
        <v>0.9</v>
      </c>
      <c r="G14" s="103">
        <f>'End use and other factors'!A$4/'End use and other factors'!A$5</f>
        <v>0.8247422680412372</v>
      </c>
      <c r="H14" s="103">
        <f>'End use and other factors'!A$4/'End use and other factors'!A$7/'End use and other factors'!A$6</f>
        <v>1.4285714285714286</v>
      </c>
      <c r="I14" s="103">
        <f>J14</f>
        <v>1</v>
      </c>
      <c r="J14" s="103">
        <v>1</v>
      </c>
      <c r="K14" s="102">
        <v>0.9</v>
      </c>
      <c r="L14" s="104">
        <f>$C14*$K14*($F14*$G14*$I14+(1-$F14)*$H14*$J14)</f>
        <v>0.2558763532188755</v>
      </c>
      <c r="M14" s="104">
        <f>$E14*$K14*($F14*$G14*$I14+(1-$F14)*$H14*$J14)</f>
        <v>0.10128438981580486</v>
      </c>
    </row>
    <row r="15" spans="1:13" ht="12">
      <c r="A15" s="4" t="s">
        <v>442</v>
      </c>
      <c r="B15" s="100">
        <f>'Table F1 -- world energy'!C23*0.2931*1000/8760</f>
        <v>0.026767123287671234</v>
      </c>
      <c r="C15" s="100">
        <f>'Table F1 -- world energy'!G23*0.2931*1000/8760</f>
        <v>0.033458904109589044</v>
      </c>
      <c r="D15" s="101">
        <f>'Table F3 -- US energy'!C23*0.2931*1000/8760</f>
        <v>0.0033458904109589043</v>
      </c>
      <c r="E15" s="101">
        <f>'Table F3 -- US energy'!G23*0.2931*1000/8760</f>
        <v>0.0033458904109589043</v>
      </c>
      <c r="F15" s="102">
        <v>0.9</v>
      </c>
      <c r="G15" s="103">
        <f>'End use and other factors'!A$4/'End use and other factors'!A$5</f>
        <v>0.8247422680412372</v>
      </c>
      <c r="H15" s="103">
        <f>'End use and other factors'!A$4/'End use and other factors'!A$7/'End use and other factors'!A$6</f>
        <v>1.4285714285714286</v>
      </c>
      <c r="I15" s="103">
        <f>J15</f>
        <v>1</v>
      </c>
      <c r="J15" s="103">
        <v>1</v>
      </c>
      <c r="K15" s="102">
        <v>0.95</v>
      </c>
      <c r="L15" s="104">
        <f>$C15*$K15*($F15*$G15*$I15+(1-$F15)*$H15*$J15)</f>
        <v>0.02813455272661246</v>
      </c>
      <c r="M15" s="104">
        <f>$E15*$K15*($F15*$G15*$I15+(1-$F15)*$H15*$J15)</f>
        <v>0.0028134552726612463</v>
      </c>
    </row>
    <row r="16" spans="1:13" ht="12">
      <c r="A16" s="4" t="s">
        <v>320</v>
      </c>
      <c r="B16" s="100">
        <f>'Table F1 -- world energy'!C24*0.2931*1000/8760</f>
        <v>0.48850000000000016</v>
      </c>
      <c r="C16" s="100">
        <f>'Table F1 -- world energy'!G24*0.2931*1000/8760</f>
        <v>0.7829383561643837</v>
      </c>
      <c r="D16" s="101">
        <f>'Table F3 -- US energy'!C24*0.2931*1000/8760</f>
        <v>0.1572568493150685</v>
      </c>
      <c r="E16" s="101">
        <f>'Table F3 -- US energy'!G24*0.2931*1000/8760</f>
        <v>0.22082876712328767</v>
      </c>
      <c r="F16" s="102">
        <v>1</v>
      </c>
      <c r="G16" s="103">
        <v>1</v>
      </c>
      <c r="H16" s="103">
        <v>1</v>
      </c>
      <c r="I16" s="103">
        <f>J16</f>
        <v>1</v>
      </c>
      <c r="J16" s="103">
        <v>1</v>
      </c>
      <c r="K16" s="102">
        <v>1</v>
      </c>
      <c r="L16" s="104">
        <f>$C16*$K16*($F16*$G16*$I16+(1-$F16)*$H16*$J16)</f>
        <v>0.7829383561643837</v>
      </c>
      <c r="M16" s="104">
        <f>$E16*$K16*($F16*$G16*$I16+(1-$F16)*$H16*$J16)</f>
        <v>0.22082876712328767</v>
      </c>
    </row>
    <row r="17" spans="1:13" ht="12">
      <c r="A17" t="s">
        <v>333</v>
      </c>
      <c r="B17" s="100">
        <f>'Table F1 -- world energy'!C25*0.2931*1000/8760</f>
        <v>0.006691780821917809</v>
      </c>
      <c r="C17" s="100">
        <f>'Table F1 -- world energy'!G25*0.2931*1000/8760</f>
        <v>0.006691780821917809</v>
      </c>
      <c r="D17" s="101">
        <f>'Table F3 -- US energy'!C25*0.2931*1000/8760</f>
        <v>0.0033458904109589043</v>
      </c>
      <c r="E17" s="101">
        <f>'Table F3 -- US energy'!G25*0.2931*1000/8760</f>
        <v>0.0033458904109589043</v>
      </c>
      <c r="F17" s="102">
        <v>0.9</v>
      </c>
      <c r="G17" s="103">
        <f>'End use and other factors'!A$4/'End use and other factors'!A$5</f>
        <v>0.8247422680412372</v>
      </c>
      <c r="H17" s="103">
        <f>'End use and other factors'!A$4/'End use and other factors'!A$7/'End use and other factors'!A$6</f>
        <v>1.4285714285714286</v>
      </c>
      <c r="I17" s="103">
        <f>J17</f>
        <v>1</v>
      </c>
      <c r="J17" s="103">
        <v>1</v>
      </c>
      <c r="K17" s="102">
        <v>0.95</v>
      </c>
      <c r="L17" s="104">
        <f>$C17*$K17*($F17*$G17*$I17+(1-$F17)*$H17*$J17)</f>
        <v>0.005626910545322493</v>
      </c>
      <c r="M17" s="104">
        <f>$E17*$K17*($F17*$G17*$I17+(1-$F17)*$H17*$J17)</f>
        <v>0.0028134552726612463</v>
      </c>
    </row>
    <row r="18" spans="1:13" ht="12">
      <c r="A18" s="1" t="s">
        <v>334</v>
      </c>
      <c r="B18" s="105">
        <f>SUM(B13:B17)</f>
        <v>0.9401952054794522</v>
      </c>
      <c r="C18" s="105">
        <f>SUM(C13:C17)</f>
        <v>1.3216267123287673</v>
      </c>
      <c r="D18" s="105">
        <f>SUM(D13:D17)</f>
        <v>0.2844006849315069</v>
      </c>
      <c r="E18" s="105">
        <f>SUM(E13:E17)</f>
        <v>0.37808561643835614</v>
      </c>
      <c r="F18" s="102"/>
      <c r="G18" s="106"/>
      <c r="H18" s="106"/>
      <c r="I18" s="106"/>
      <c r="J18" s="106"/>
      <c r="K18" s="102"/>
      <c r="L18" s="107">
        <f>SUM(L13:L17)</f>
        <v>1.22168930210624</v>
      </c>
      <c r="M18" s="107">
        <f>SUM(M13:M17)</f>
        <v>0.34743425439304376</v>
      </c>
    </row>
    <row r="19" spans="1:13" ht="12">
      <c r="A19" s="1" t="s">
        <v>336</v>
      </c>
      <c r="B19" s="100"/>
      <c r="C19" s="100"/>
      <c r="D19" s="101"/>
      <c r="E19" s="101"/>
      <c r="F19" s="102"/>
      <c r="G19" s="106"/>
      <c r="H19" s="106"/>
      <c r="I19" s="106"/>
      <c r="J19" s="106"/>
      <c r="K19" s="102"/>
      <c r="L19" s="104"/>
      <c r="M19" s="103"/>
    </row>
    <row r="20" spans="1:13" ht="12">
      <c r="A20" t="s">
        <v>342</v>
      </c>
      <c r="B20" s="100">
        <f>'Table F1 -- world energy'!C28*0.2931*1000/8760</f>
        <v>1.9606917808219178</v>
      </c>
      <c r="C20" s="100">
        <f>'Table F1 -- world energy'!G28*0.2931*1000/8760</f>
        <v>2.409041095890411</v>
      </c>
      <c r="D20" s="101">
        <f>'Table F3 -- US energy'!C28*0.2931*1000/8760</f>
        <v>0.3245513698630137</v>
      </c>
      <c r="E20" s="101">
        <f>'Table F3 -- US energy'!G28*0.2931*1000/8760</f>
        <v>0.30782191780821916</v>
      </c>
      <c r="F20" s="102">
        <v>0.6</v>
      </c>
      <c r="G20" s="103">
        <f>'End use and other factors'!A$4/'End use and other factors'!A$5</f>
        <v>0.8247422680412372</v>
      </c>
      <c r="H20" s="103">
        <f>'End use and other factors'!A$4/'End use and other factors'!A$7/'End use and other factors'!A$6</f>
        <v>1.4285714285714286</v>
      </c>
      <c r="I20" s="103">
        <f>J20</f>
        <v>0.72</v>
      </c>
      <c r="J20" s="103">
        <f>1-'End use and other factors'!A14</f>
        <v>0.72</v>
      </c>
      <c r="K20" s="102">
        <v>0.95</v>
      </c>
      <c r="L20" s="104">
        <f>$C20*$K20*($F20*$G20*$I20+(1-$F20)*$H20*$J20)</f>
        <v>1.756989242036032</v>
      </c>
      <c r="M20" s="104">
        <f>$E20*$K20*($F20*$G20*$I20+(1-$F20)*$H20*$J20)</f>
        <v>0.22450418092682628</v>
      </c>
    </row>
    <row r="21" spans="1:13" ht="12">
      <c r="A21" t="s">
        <v>441</v>
      </c>
      <c r="B21" s="100">
        <f>'Table F1 -- world energy'!C29*0.2931*1000/8760</f>
        <v>1.7197876712328768</v>
      </c>
      <c r="C21" s="100">
        <f>'Table F1 -- world energy'!G29*0.2931*1000/8760</f>
        <v>2.348815068493151</v>
      </c>
      <c r="D21" s="101">
        <f>'Table F3 -- US energy'!C29*0.2931*1000/8760</f>
        <v>0.281054794520548</v>
      </c>
      <c r="E21" s="101">
        <f>'Table F3 -- US energy'!G29*0.2931*1000/8760</f>
        <v>0.2777089041095891</v>
      </c>
      <c r="F21" s="102">
        <v>0.6</v>
      </c>
      <c r="G21" s="103">
        <f>'End use and other factors'!A$4/'End use and other factors'!A$5</f>
        <v>0.8247422680412372</v>
      </c>
      <c r="H21" s="103">
        <f>'End use and other factors'!A$4/'End use and other factors'!A$7/'End use and other factors'!A$6</f>
        <v>1.4285714285714286</v>
      </c>
      <c r="I21" s="103">
        <f>J21</f>
        <v>0.8200000000000001</v>
      </c>
      <c r="J21" s="103">
        <f>1-'End use and other factors'!A15</f>
        <v>0.8200000000000001</v>
      </c>
      <c r="K21" s="102">
        <v>0.95</v>
      </c>
      <c r="L21" s="104">
        <f>$C21*$K21*($F21*$G21*$I21+(1-$F21)*$H21*$J21)</f>
        <v>1.9509901375108443</v>
      </c>
      <c r="M21" s="104">
        <f>$E21*$K21*($F21*$G21*$I21+(1-$F21)*$H21*$J21)</f>
        <v>0.23067262309601153</v>
      </c>
    </row>
    <row r="22" spans="1:13" ht="12">
      <c r="A22" s="4" t="s">
        <v>442</v>
      </c>
      <c r="B22" s="100">
        <f>'Table F1 -- world energy'!C30*0.2931*1000/8760</f>
        <v>1.5391095890410962</v>
      </c>
      <c r="C22" s="100">
        <f>'Table F1 -- world energy'!G30*0.2931*1000/8760</f>
        <v>2.148061643835617</v>
      </c>
      <c r="D22" s="101">
        <f>'Table F3 -- US energy'!C30*0.2931*1000/8760</f>
        <v>0.06357191780821918</v>
      </c>
      <c r="E22" s="101">
        <f>'Table F3 -- US energy'!G30*0.2931*1000/8760</f>
        <v>0.07695547945205479</v>
      </c>
      <c r="F22" s="102">
        <v>0.6</v>
      </c>
      <c r="G22" s="103">
        <f>'End use and other factors'!A$4/'End use and other factors'!A$5</f>
        <v>0.8247422680412372</v>
      </c>
      <c r="H22" s="103">
        <f>'End use and other factors'!A$4/'End use and other factors'!A$7/'End use and other factors'!A$6</f>
        <v>1.4285714285714286</v>
      </c>
      <c r="I22" s="103">
        <f>J22</f>
        <v>0.73</v>
      </c>
      <c r="J22" s="103">
        <f>1-'End use and other factors'!A16</f>
        <v>0.73</v>
      </c>
      <c r="K22" s="102">
        <v>0.95</v>
      </c>
      <c r="L22" s="104">
        <f>$C22*$K22*($F22*$G22*$I22+(1-$F22)*$H22*$J22)</f>
        <v>1.5884077511045658</v>
      </c>
      <c r="M22" s="104">
        <f>$E22*$K22*($F22*$G22*$I22+(1-$F22)*$H22*$J22)</f>
        <v>0.056905573637702496</v>
      </c>
    </row>
    <row r="23" spans="1:13" ht="12">
      <c r="A23" s="4" t="s">
        <v>320</v>
      </c>
      <c r="B23" s="100">
        <f>'Table F1 -- world energy'!C31*0.2931*1000/8760</f>
        <v>1.0941061643835617</v>
      </c>
      <c r="C23" s="100">
        <f>'Table F1 -- world energy'!G31*0.2931*1000/8760</f>
        <v>1.7465547945205482</v>
      </c>
      <c r="D23" s="101">
        <f>'Table F3 -- US energy'!C31*0.2931*1000/8760</f>
        <v>0.11710616438356165</v>
      </c>
      <c r="E23" s="101">
        <f>'Table F3 -- US energy'!G31*0.2931*1000/8760</f>
        <v>0.11710616438356165</v>
      </c>
      <c r="F23" s="102">
        <v>1</v>
      </c>
      <c r="G23" s="103">
        <v>1</v>
      </c>
      <c r="H23" s="103">
        <v>1</v>
      </c>
      <c r="I23" s="103">
        <f>J23</f>
        <v>0.9299999999999999</v>
      </c>
      <c r="J23" s="103">
        <f>1-'End use and other factors'!A17</f>
        <v>0.9299999999999999</v>
      </c>
      <c r="K23" s="102">
        <v>1</v>
      </c>
      <c r="L23" s="104">
        <f>$C23*$K23*($F23*$G23*$I23+(1-$F23)*$H23*$J23)</f>
        <v>1.6242959589041097</v>
      </c>
      <c r="M23" s="104">
        <f>$E23*$K23*($F23*$G23*$I23+(1-$F23)*$H23*$J23)</f>
        <v>0.10890873287671234</v>
      </c>
    </row>
    <row r="24" spans="1:13" ht="12">
      <c r="A24" t="s">
        <v>333</v>
      </c>
      <c r="B24" s="100">
        <f>'Table F1 -- world energy'!C32*0.2931*1000/8760</f>
        <v>0.08364726027397261</v>
      </c>
      <c r="C24" s="100">
        <f>'Table F1 -- world energy'!G32*0.2931*1000/8760</f>
        <v>0.15056506849315068</v>
      </c>
      <c r="D24" s="101">
        <f>'Table F3 -- US energy'!C32*0.2931*1000/8760</f>
        <v>0.07695547945205479</v>
      </c>
      <c r="E24" s="101">
        <f>'Table F3 -- US energy'!G32*0.2931*1000/8760</f>
        <v>0.1438732876712329</v>
      </c>
      <c r="F24" s="102">
        <v>0.9</v>
      </c>
      <c r="G24" s="103">
        <f>'End use and other factors'!A$4/'End use and other factors'!A$5</f>
        <v>0.8247422680412372</v>
      </c>
      <c r="H24" s="103">
        <f>'End use and other factors'!A$4/'End use and other factors'!A$7/'End use and other factors'!A$6</f>
        <v>1.4285714285714286</v>
      </c>
      <c r="I24" s="103">
        <f>J24</f>
        <v>1</v>
      </c>
      <c r="J24" s="103">
        <v>1</v>
      </c>
      <c r="K24" s="102">
        <v>0.95</v>
      </c>
      <c r="L24" s="104">
        <f>$C24*$K24*($F24*$G24*$I24+(1-$F24)*$H24*$J24)</f>
        <v>0.12660548726975607</v>
      </c>
      <c r="M24" s="104">
        <f>$E24*$K24*($F24*$G24*$I24+(1-$F24)*$H24*$J24)</f>
        <v>0.1209785767244336</v>
      </c>
    </row>
    <row r="25" spans="1:13" ht="12">
      <c r="A25" s="1" t="s">
        <v>334</v>
      </c>
      <c r="B25" s="105">
        <f>SUM(B20:B24)</f>
        <v>6.397342465753424</v>
      </c>
      <c r="C25" s="105">
        <f>SUM(C20:C24)</f>
        <v>8.803037671232877</v>
      </c>
      <c r="D25" s="105">
        <f>SUM(D20:D24)</f>
        <v>0.8632397260273974</v>
      </c>
      <c r="E25" s="105">
        <f>SUM(E20:E24)</f>
        <v>0.9234657534246576</v>
      </c>
      <c r="F25" s="102"/>
      <c r="G25" s="106"/>
      <c r="H25" s="106"/>
      <c r="I25" s="106"/>
      <c r="J25" s="106"/>
      <c r="K25" s="102"/>
      <c r="L25" s="107">
        <f>SUM(L20:L24)</f>
        <v>7.047288576825308</v>
      </c>
      <c r="M25" s="107">
        <f>SUM(M20:M24)</f>
        <v>0.7419696872616862</v>
      </c>
    </row>
    <row r="26" spans="1:13" ht="12">
      <c r="A26" s="1" t="s">
        <v>337</v>
      </c>
      <c r="B26" s="100"/>
      <c r="C26" s="100"/>
      <c r="D26" s="101"/>
      <c r="E26" s="101"/>
      <c r="F26" s="102"/>
      <c r="G26" s="106"/>
      <c r="H26" s="106"/>
      <c r="I26" s="106"/>
      <c r="J26" s="106"/>
      <c r="K26" s="102"/>
      <c r="L26" s="104"/>
      <c r="M26" s="103"/>
    </row>
    <row r="27" spans="1:14" ht="15">
      <c r="A27" t="s">
        <v>342</v>
      </c>
      <c r="B27" s="100">
        <f>'Table F1 -- world energy'!C35*0.2931*1000/8760</f>
        <v>3.285664383561644</v>
      </c>
      <c r="C27" s="100">
        <f>'Table F1 -- world energy'!G35*0.2931*1000/8760</f>
        <v>4.4433424657534255</v>
      </c>
      <c r="D27" s="101">
        <f>'Table F3 -- US energy'!C35*0.2931*1000/8760</f>
        <v>0.94688698630137</v>
      </c>
      <c r="E27" s="101">
        <f>'Table F3 -- US energy'!G35*0.2931*1000/8760</f>
        <v>1.0740308219178085</v>
      </c>
      <c r="F27" s="102">
        <v>0.73</v>
      </c>
      <c r="G27" s="103">
        <f>1/'End use and other factors'!A12</f>
        <v>0.18867924528301888</v>
      </c>
      <c r="H27" s="103">
        <f>1/'End use and other factors'!A13/'End use and other factors'!A7*(1-'End use and other factors'!A11)+1/'End use and other factors'!A7/'End use and other factors'!A10*'End use and other factors'!A11</f>
        <v>0.6445406445406445</v>
      </c>
      <c r="I27" s="103">
        <v>1</v>
      </c>
      <c r="J27" s="103">
        <f>(1/'End use and other factors'!A13/'End use and other factors'!A7*'End use and other factors'!A8*(1-'End use and other factors'!A11)+1/'End use and other factors'!A7/'End use and other factors'!A10*'End use and other factors'!A9*'End use and other factors'!A11)/H27</f>
        <v>1.1799641791044777</v>
      </c>
      <c r="K27" s="102">
        <v>0.85</v>
      </c>
      <c r="L27" s="104">
        <f>$C27*$K27*($F27*$G27*$I27+(1-$F27)*$H27*$J27)</f>
        <v>1.29575964268516</v>
      </c>
      <c r="M27" s="104">
        <f>$E27*$K27*($F27*$G27*$I27+(1-$F27)*$H27*$J27)</f>
        <v>0.3132069618237473</v>
      </c>
      <c r="N27" s="79"/>
    </row>
    <row r="28" spans="1:14" ht="15">
      <c r="A28" s="4" t="s">
        <v>441</v>
      </c>
      <c r="B28" s="100">
        <f>'Table F1 -- world energy'!C36*0.2931*1000/8760</f>
        <v>0.03680479452054795</v>
      </c>
      <c r="C28" s="100">
        <f>'Table F1 -- world energy'!G36*0.2931*1000/8760</f>
        <v>0.05353424657534247</v>
      </c>
      <c r="D28" s="101">
        <f>'Table F3 -- US energy'!C36*0.2931*1000/8760</f>
        <v>0.02342123287671233</v>
      </c>
      <c r="E28" s="101">
        <f>'Table F3 -- US energy'!G36*0.2931*1000/8760</f>
        <v>0.026767123287671234</v>
      </c>
      <c r="F28" s="102">
        <v>0.9</v>
      </c>
      <c r="G28" s="103">
        <f>'End use and other factors'!A$4/'End use and other factors'!A$5</f>
        <v>0.8247422680412372</v>
      </c>
      <c r="H28" s="103">
        <f>'End use and other factors'!A$4/'End use and other factors'!A$7/'End use and other factors'!A$6</f>
        <v>1.4285714285714286</v>
      </c>
      <c r="I28" s="103">
        <v>1</v>
      </c>
      <c r="J28" s="103">
        <v>1</v>
      </c>
      <c r="K28" s="102">
        <v>0.85</v>
      </c>
      <c r="L28" s="104">
        <f>$C28*$K28*($F28*$G28*$I28+(1-$F28)*$H28*$J28)</f>
        <v>0.040276833377045206</v>
      </c>
      <c r="M28" s="104">
        <f>$E28*$K28*($F28*$G28*$I28+(1-$F28)*$H28*$J28)</f>
        <v>0.020138416688522603</v>
      </c>
      <c r="N28" s="79"/>
    </row>
    <row r="29" spans="1:13" ht="12">
      <c r="A29" t="s">
        <v>442</v>
      </c>
      <c r="B29" s="100">
        <f>'Table F1 -- world energy'!C37*0.2931*1000/8760</f>
        <v>0.006691780821917809</v>
      </c>
      <c r="C29" s="100">
        <f>'Table F1 -- world energy'!G37*0.2931*1000/8760</f>
        <v>0</v>
      </c>
      <c r="D29" s="101">
        <f>'Table F3 -- US energy'!C37*0.2931*1000/8760</f>
        <v>0</v>
      </c>
      <c r="E29" s="101">
        <f>'Table F3 -- US energy'!G37*0.2931*1000/8760</f>
        <v>0</v>
      </c>
      <c r="F29" s="102">
        <v>0.9</v>
      </c>
      <c r="G29" s="103">
        <f>'End use and other factors'!A$4/'End use and other factors'!A$5</f>
        <v>0.8247422680412372</v>
      </c>
      <c r="H29" s="103">
        <f>'End use and other factors'!A$4/'End use and other factors'!A$7/'End use and other factors'!A$6</f>
        <v>1.4285714285714286</v>
      </c>
      <c r="I29" s="103">
        <v>1</v>
      </c>
      <c r="J29" s="103">
        <v>1</v>
      </c>
      <c r="K29" s="102">
        <v>0.85</v>
      </c>
      <c r="L29" s="104">
        <f>$C29*$K29*($F29*$G29*$I29+(1-$F29)*$H29*$J29)</f>
        <v>0</v>
      </c>
      <c r="M29" s="104">
        <f>$E29*$K29*($F29*$G29*$I29+(1-$F29)*$H29*$J29)</f>
        <v>0</v>
      </c>
    </row>
    <row r="30" spans="1:13" ht="12">
      <c r="A30" t="s">
        <v>320</v>
      </c>
      <c r="B30" s="100">
        <f>'Table F1 -- world energy'!C38*0.2931*1000/8760</f>
        <v>0.03011301369863014</v>
      </c>
      <c r="C30" s="100">
        <f>'Table F1 -- world energy'!G38*0.2931*1000/8760</f>
        <v>0.03680479452054795</v>
      </c>
      <c r="D30" s="101">
        <f>'Table F3 -- US energy'!C38*0.2931*1000/8760</f>
        <v>0</v>
      </c>
      <c r="E30" s="101">
        <f>'Table F3 -- US energy'!G38*0.2931*1000/8760</f>
        <v>0</v>
      </c>
      <c r="F30" s="102">
        <v>1</v>
      </c>
      <c r="G30" s="103">
        <v>1</v>
      </c>
      <c r="H30" s="103">
        <v>1</v>
      </c>
      <c r="I30" s="103">
        <v>1</v>
      </c>
      <c r="J30" s="103">
        <v>1</v>
      </c>
      <c r="K30" s="102">
        <v>0.95</v>
      </c>
      <c r="L30" s="104">
        <f>$C30*$K30*($F30*$G30*$I30+(1-$F30)*$H30*$J30)</f>
        <v>0.03496455479452055</v>
      </c>
      <c r="M30" s="104">
        <f>$E30*$K30*($F30*$G30*$I30+(1-$F30)*$H30*$J30)</f>
        <v>0</v>
      </c>
    </row>
    <row r="31" spans="1:13" ht="12">
      <c r="A31" s="1" t="s">
        <v>334</v>
      </c>
      <c r="B31" s="105">
        <f>SUM(B27:B30)</f>
        <v>3.35927397260274</v>
      </c>
      <c r="C31" s="105">
        <f>SUM(C27:C30)</f>
        <v>4.533681506849316</v>
      </c>
      <c r="D31" s="105">
        <f>SUM(D27:D30)</f>
        <v>0.9703082191780824</v>
      </c>
      <c r="E31" s="105">
        <f>SUM(E27:E30)</f>
        <v>1.1007979452054797</v>
      </c>
      <c r="F31" s="101"/>
      <c r="G31" s="101"/>
      <c r="H31" s="101"/>
      <c r="I31" s="101"/>
      <c r="J31" s="101"/>
      <c r="L31" s="107">
        <f>SUM(L27:L30)</f>
        <v>1.3710010308567258</v>
      </c>
      <c r="M31" s="107">
        <f>SUM(M27:M30)</f>
        <v>0.3333453785122699</v>
      </c>
    </row>
    <row r="32" spans="12:13" ht="12">
      <c r="L32" s="106"/>
      <c r="M32" s="106"/>
    </row>
    <row r="33" spans="1:13" ht="12">
      <c r="A33" s="1" t="s">
        <v>392</v>
      </c>
      <c r="B33" s="105">
        <f>B11+B18+B25+B31</f>
        <v>12.466787671232876</v>
      </c>
      <c r="C33" s="105">
        <f>C11+C18+C25+C31</f>
        <v>16.92016780821918</v>
      </c>
      <c r="D33" s="105">
        <f>D11+D18+D25+D31</f>
        <v>2.502726027397261</v>
      </c>
      <c r="E33" s="105">
        <f>E11+E18+E25+E31</f>
        <v>2.8339691780821923</v>
      </c>
      <c r="F33" s="101"/>
      <c r="G33" s="105"/>
      <c r="L33" s="121">
        <f>L11+L18+L25+L31</f>
        <v>11.46587639526248</v>
      </c>
      <c r="M33" s="121">
        <f>M11+M18+M25+M31</f>
        <v>1.7763211152877458</v>
      </c>
    </row>
    <row r="34" spans="1:14" ht="12">
      <c r="A34" s="1"/>
      <c r="B34" s="105"/>
      <c r="C34" s="105"/>
      <c r="D34" s="105"/>
      <c r="E34" s="105"/>
      <c r="F34" s="101"/>
      <c r="M34" s="119"/>
      <c r="N34" s="12"/>
    </row>
    <row r="35" spans="1:6" ht="12">
      <c r="A35" s="1" t="s">
        <v>338</v>
      </c>
      <c r="B35" s="98">
        <v>2010</v>
      </c>
      <c r="C35" s="98">
        <v>2030</v>
      </c>
      <c r="D35" s="98">
        <v>2010</v>
      </c>
      <c r="E35" s="98">
        <v>2030</v>
      </c>
      <c r="F35" s="101"/>
    </row>
    <row r="36" spans="1:7" ht="12">
      <c r="A36" t="s">
        <v>342</v>
      </c>
      <c r="B36" s="100">
        <f aca="true" t="shared" si="0" ref="B36:E37">B27+B20+B13+B6</f>
        <v>5.754931506849315</v>
      </c>
      <c r="C36" s="100">
        <f t="shared" si="0"/>
        <v>7.401109589041098</v>
      </c>
      <c r="D36" s="100">
        <f t="shared" si="0"/>
        <v>1.3350102739726029</v>
      </c>
      <c r="E36" s="100">
        <f t="shared" si="0"/>
        <v>1.4487705479452058</v>
      </c>
      <c r="F36" s="101"/>
      <c r="G36" s="101"/>
    </row>
    <row r="37" spans="1:10" ht="15">
      <c r="A37" t="s">
        <v>441</v>
      </c>
      <c r="B37" s="100">
        <f t="shared" si="0"/>
        <v>2.6967876712328764</v>
      </c>
      <c r="C37" s="100">
        <f t="shared" si="0"/>
        <v>3.566719178082192</v>
      </c>
      <c r="D37" s="100">
        <f t="shared" si="0"/>
        <v>0.5688013698630138</v>
      </c>
      <c r="E37" s="100">
        <f t="shared" si="0"/>
        <v>0.6089520547945206</v>
      </c>
      <c r="F37" s="101"/>
      <c r="G37" s="113"/>
      <c r="H37" s="115" t="s">
        <v>399</v>
      </c>
      <c r="I37" s="115"/>
      <c r="J37" s="108"/>
    </row>
    <row r="38" spans="1:10" ht="15">
      <c r="A38" t="s">
        <v>442</v>
      </c>
      <c r="B38" s="100">
        <f aca="true" t="shared" si="1" ref="B38:E39">B29+B22+B15+B8</f>
        <v>1.682982876712329</v>
      </c>
      <c r="C38" s="100">
        <f t="shared" si="1"/>
        <v>2.29193493150685</v>
      </c>
      <c r="D38" s="100">
        <f t="shared" si="1"/>
        <v>0.06691780821917809</v>
      </c>
      <c r="E38" s="100">
        <f t="shared" si="1"/>
        <v>0.0803013698630137</v>
      </c>
      <c r="F38" s="101"/>
      <c r="G38" s="114"/>
      <c r="H38" s="115" t="s">
        <v>400</v>
      </c>
      <c r="I38" s="115"/>
      <c r="J38" s="108"/>
    </row>
    <row r="39" spans="1:7" ht="12">
      <c r="A39" t="s">
        <v>320</v>
      </c>
      <c r="B39" s="100">
        <f t="shared" si="1"/>
        <v>2.2183253424657536</v>
      </c>
      <c r="C39" s="100">
        <f t="shared" si="1"/>
        <v>3.4830719178082195</v>
      </c>
      <c r="D39" s="100">
        <f t="shared" si="1"/>
        <v>0.4383116438356165</v>
      </c>
      <c r="E39" s="100">
        <f t="shared" si="1"/>
        <v>0.5353424657534247</v>
      </c>
      <c r="F39" s="116"/>
      <c r="G39" s="117" t="s">
        <v>224</v>
      </c>
    </row>
    <row r="40" spans="1:7" ht="12">
      <c r="A40" t="s">
        <v>333</v>
      </c>
      <c r="B40" s="100">
        <f>B24+B17+B10</f>
        <v>0.11376027397260274</v>
      </c>
      <c r="C40" s="100">
        <f>C24+C17+C10</f>
        <v>0.17733219178082194</v>
      </c>
      <c r="D40" s="100">
        <f>D24+D17+D10</f>
        <v>0.09368493150684931</v>
      </c>
      <c r="E40" s="100">
        <f>E24+E17+E10</f>
        <v>0.1606027397260274</v>
      </c>
      <c r="F40" s="116"/>
      <c r="G40" s="116" t="s">
        <v>524</v>
      </c>
    </row>
    <row r="41" spans="1:7" ht="12">
      <c r="A41" s="1" t="s">
        <v>339</v>
      </c>
      <c r="B41" s="105">
        <f>SUM(B36:B40)</f>
        <v>12.466787671232876</v>
      </c>
      <c r="C41" s="105">
        <f>SUM(C36:C40)</f>
        <v>16.92016780821918</v>
      </c>
      <c r="D41" s="105">
        <f>SUM(D36:D40)</f>
        <v>2.5027260273972605</v>
      </c>
      <c r="E41" s="105">
        <f>SUM(E36:E40)</f>
        <v>2.8339691780821923</v>
      </c>
      <c r="F41" s="101"/>
      <c r="G41" s="101"/>
    </row>
    <row r="42" spans="1:7" ht="12">
      <c r="A42" t="s">
        <v>277</v>
      </c>
      <c r="B42" s="100">
        <f>'Table F1 -- world energy'!C47*0.2931*1000/8760</f>
        <v>4.67755479452055</v>
      </c>
      <c r="C42" s="100">
        <f>'Table F1 -- world energy'!G47*0.2931*1000/8760</f>
        <v>6.323732876712329</v>
      </c>
      <c r="D42" s="101">
        <f>'Table F3 -- US energy'!C47*0.2931*1000/8760</f>
        <v>0.94688698630137</v>
      </c>
      <c r="E42" s="101">
        <f>'Table F3 -- US energy'!G47*0.2931*1000/8760</f>
        <v>1.1108356164383564</v>
      </c>
      <c r="F42" s="101"/>
      <c r="G42" s="101"/>
    </row>
    <row r="43" spans="1:7" ht="12">
      <c r="A43" s="1" t="s">
        <v>334</v>
      </c>
      <c r="B43" s="105">
        <f>B41+B42</f>
        <v>17.144342465753425</v>
      </c>
      <c r="C43" s="105">
        <f>C41+C42</f>
        <v>23.24390068493151</v>
      </c>
      <c r="D43" s="105">
        <f>D41+D42</f>
        <v>3.4496130136986305</v>
      </c>
      <c r="E43" s="105">
        <f>E41+E42</f>
        <v>3.9448047945205484</v>
      </c>
      <c r="F43" s="101"/>
      <c r="G43" s="101"/>
    </row>
    <row r="44" spans="1:7" ht="12">
      <c r="A44" s="1" t="s">
        <v>278</v>
      </c>
      <c r="B44" s="100"/>
      <c r="C44" s="100"/>
      <c r="D44" s="101"/>
      <c r="E44" s="101"/>
      <c r="F44" s="101"/>
      <c r="G44" s="101"/>
    </row>
    <row r="45" spans="1:7" ht="12">
      <c r="A45" t="s">
        <v>342</v>
      </c>
      <c r="B45" s="100">
        <f>'Table F1 -- world energy'!C50*0.2931*1000/8760</f>
        <v>0.30782191780821916</v>
      </c>
      <c r="C45" s="100">
        <f>'Table F1 -- world energy'!G50*0.2931*1000/8760</f>
        <v>0.27101712328767125</v>
      </c>
      <c r="D45" s="101">
        <f>'Table F3 -- US energy'!C50*0.2931*1000/8760</f>
        <v>0.020075342465753425</v>
      </c>
      <c r="E45" s="101">
        <f>'Table F3 -- US energy'!G50*0.2931*1000/8760</f>
        <v>0.020075342465753425</v>
      </c>
      <c r="F45" s="101"/>
      <c r="G45" s="101"/>
    </row>
    <row r="46" spans="1:7" ht="12">
      <c r="A46" t="s">
        <v>441</v>
      </c>
      <c r="B46" s="100">
        <f>'Table F1 -- world energy'!C51*0.2931*1000/8760</f>
        <v>1.3249726027397262</v>
      </c>
      <c r="C46" s="100">
        <f>'Table F1 -- world energy'!G51*0.2931*1000/8760</f>
        <v>1.9473082191780824</v>
      </c>
      <c r="D46" s="101">
        <f>'Table F3 -- US energy'!C51*0.2931*1000/8760</f>
        <v>0.23086643835616438</v>
      </c>
      <c r="E46" s="101">
        <f>'Table F3 -- US energy'!G51*0.2931*1000/8760</f>
        <v>0.17064041095890412</v>
      </c>
      <c r="F46" s="101"/>
      <c r="G46" s="101"/>
    </row>
    <row r="47" spans="1:7" ht="12">
      <c r="A47" t="s">
        <v>442</v>
      </c>
      <c r="B47" s="100">
        <f>'Table F1 -- world energy'!C52*0.2931*1000/8760</f>
        <v>3.004609589041096</v>
      </c>
      <c r="C47" s="100">
        <f>'Table F1 -- world energy'!G52*0.2931*1000/8760</f>
        <v>4.473455479452055</v>
      </c>
      <c r="D47" s="101">
        <f>'Table F3 -- US energy'!C52*0.2931*1000/8760</f>
        <v>0.7026369863013701</v>
      </c>
      <c r="E47" s="101">
        <f>'Table F3 -- US energy'!G52*0.2931*1000/8760</f>
        <v>0.9201198630136986</v>
      </c>
      <c r="F47" s="101"/>
      <c r="G47" s="101"/>
    </row>
    <row r="48" spans="1:7" ht="12">
      <c r="A48" t="s">
        <v>340</v>
      </c>
      <c r="B48" s="100">
        <f>'Table F1 -- world energy'!C53*0.2931*1000/8760</f>
        <v>0.9636164383561645</v>
      </c>
      <c r="C48" s="100">
        <f>'Table F1 -- world energy'!G53*0.2931*1000/8760</f>
        <v>1.3182808219178082</v>
      </c>
      <c r="D48" s="101">
        <f>'Table F3 -- US energy'!C53*0.2931*1000/8760</f>
        <v>0.2777089041095891</v>
      </c>
      <c r="E48" s="101">
        <f>'Table F3 -- US energy'!G53*0.2931*1000/8760</f>
        <v>0.3212054794520548</v>
      </c>
      <c r="F48" s="101"/>
      <c r="G48" s="101"/>
    </row>
    <row r="49" spans="1:7" ht="12">
      <c r="A49" t="s">
        <v>333</v>
      </c>
      <c r="B49" s="100">
        <f>'Table F1 -- world energy'!C54*0.2931*1000/8760</f>
        <v>1.2881678082191783</v>
      </c>
      <c r="C49" s="100">
        <f>'Table F1 -- world energy'!G54*0.2931*1000/8760</f>
        <v>1.7933972602739727</v>
      </c>
      <c r="D49" s="101">
        <f>'Table F3 -- US energy'!C54*0.2931*1000/8760</f>
        <v>0.15391095890410958</v>
      </c>
      <c r="E49" s="101">
        <f>'Table F3 -- US energy'!G54*0.2931*1000/8760</f>
        <v>0.20744520547945208</v>
      </c>
      <c r="F49" s="101"/>
      <c r="G49" s="101"/>
    </row>
    <row r="50" spans="1:7" ht="12">
      <c r="A50" s="1" t="s">
        <v>334</v>
      </c>
      <c r="B50" s="105">
        <f>SUM(B45:B49)</f>
        <v>6.889188356164385</v>
      </c>
      <c r="C50" s="105">
        <f>SUM(C45:C49)</f>
        <v>9.80345890410959</v>
      </c>
      <c r="D50" s="105">
        <f>SUM(D45:D49)</f>
        <v>1.3851986301369865</v>
      </c>
      <c r="E50" s="105">
        <f>SUM(E45:E49)</f>
        <v>1.639486301369863</v>
      </c>
      <c r="F50" s="116" t="s">
        <v>381</v>
      </c>
      <c r="G50" s="116"/>
    </row>
    <row r="51" spans="1:7" ht="12">
      <c r="A51" s="1" t="s">
        <v>341</v>
      </c>
      <c r="B51" s="100"/>
      <c r="C51" s="100"/>
      <c r="D51" s="101"/>
      <c r="E51" s="101"/>
      <c r="F51" s="109">
        <v>2010</v>
      </c>
      <c r="G51" s="109">
        <v>2030</v>
      </c>
    </row>
    <row r="52" spans="1:7" ht="12">
      <c r="A52" t="s">
        <v>342</v>
      </c>
      <c r="B52" s="100">
        <f aca="true" t="shared" si="2" ref="B52:E54">B45+B36</f>
        <v>6.062753424657535</v>
      </c>
      <c r="C52" s="100">
        <f t="shared" si="2"/>
        <v>7.672126712328769</v>
      </c>
      <c r="D52" s="100">
        <f t="shared" si="2"/>
        <v>1.3550856164383562</v>
      </c>
      <c r="E52" s="100">
        <f t="shared" si="2"/>
        <v>1.4688458904109591</v>
      </c>
      <c r="F52" s="110">
        <f aca="true" t="shared" si="3" ref="F52:G56">B52/B$57</f>
        <v>0.3537680593518157</v>
      </c>
      <c r="G52" s="110">
        <f t="shared" si="3"/>
        <v>0.3301180535560035</v>
      </c>
    </row>
    <row r="53" spans="1:7" ht="12">
      <c r="A53" t="s">
        <v>441</v>
      </c>
      <c r="B53" s="100">
        <f t="shared" si="2"/>
        <v>4.021760273972602</v>
      </c>
      <c r="C53" s="100">
        <f t="shared" si="2"/>
        <v>5.514027397260275</v>
      </c>
      <c r="D53" s="100">
        <f t="shared" si="2"/>
        <v>0.7996678082191782</v>
      </c>
      <c r="E53" s="100">
        <f t="shared" si="2"/>
        <v>0.7795924657534248</v>
      </c>
      <c r="F53" s="110">
        <f t="shared" si="3"/>
        <v>0.2346739554861382</v>
      </c>
      <c r="G53" s="110">
        <f t="shared" si="3"/>
        <v>0.23725885401670027</v>
      </c>
    </row>
    <row r="54" spans="1:7" ht="12">
      <c r="A54" t="s">
        <v>442</v>
      </c>
      <c r="B54" s="100">
        <f t="shared" si="2"/>
        <v>4.687592465753426</v>
      </c>
      <c r="C54" s="100">
        <f t="shared" si="2"/>
        <v>6.765390410958905</v>
      </c>
      <c r="D54" s="100">
        <f t="shared" si="2"/>
        <v>0.7695547945205481</v>
      </c>
      <c r="E54" s="100">
        <f t="shared" si="2"/>
        <v>1.0004212328767124</v>
      </c>
      <c r="F54" s="110">
        <f t="shared" si="3"/>
        <v>0.2735259664193675</v>
      </c>
      <c r="G54" s="110">
        <f t="shared" si="3"/>
        <v>0.29110279297437375</v>
      </c>
    </row>
    <row r="55" spans="1:7" ht="12">
      <c r="A55" t="s">
        <v>340</v>
      </c>
      <c r="B55" s="100">
        <f>B48</f>
        <v>0.9636164383561645</v>
      </c>
      <c r="C55" s="100">
        <f>C48</f>
        <v>1.3182808219178082</v>
      </c>
      <c r="D55" s="100">
        <f>D48</f>
        <v>0.2777089041095891</v>
      </c>
      <c r="E55" s="100">
        <f>E48</f>
        <v>0.3212054794520548</v>
      </c>
      <c r="F55" s="110">
        <f t="shared" si="3"/>
        <v>0.0562280359234674</v>
      </c>
      <c r="G55" s="110">
        <f t="shared" si="3"/>
        <v>0.05672329398214799</v>
      </c>
    </row>
    <row r="56" spans="1:11" ht="12">
      <c r="A56" t="s">
        <v>333</v>
      </c>
      <c r="B56" s="100">
        <f>B49+B40</f>
        <v>1.401928082191781</v>
      </c>
      <c r="C56" s="100">
        <f>C49+C40</f>
        <v>1.9707294520547947</v>
      </c>
      <c r="D56" s="100">
        <f>D49+D40</f>
        <v>0.2475958904109589</v>
      </c>
      <c r="E56" s="100">
        <f>E49+E40</f>
        <v>0.36804794520547945</v>
      </c>
      <c r="F56" s="110">
        <f t="shared" si="3"/>
        <v>0.08180398281921125</v>
      </c>
      <c r="G56" s="110">
        <f t="shared" si="3"/>
        <v>0.08479700547077454</v>
      </c>
      <c r="H56" s="111"/>
      <c r="I56" s="111"/>
      <c r="J56" s="111"/>
      <c r="K56" s="111"/>
    </row>
    <row r="57" spans="1:7" ht="12">
      <c r="A57" s="1" t="s">
        <v>334</v>
      </c>
      <c r="B57" s="105">
        <f aca="true" t="shared" si="4" ref="B57:G57">SUM(B52:B56)</f>
        <v>17.137650684931508</v>
      </c>
      <c r="C57" s="105">
        <f t="shared" si="4"/>
        <v>23.240554794520552</v>
      </c>
      <c r="D57" s="105">
        <f t="shared" si="4"/>
        <v>3.4496130136986305</v>
      </c>
      <c r="E57" s="105">
        <f t="shared" si="4"/>
        <v>3.9381130136986306</v>
      </c>
      <c r="F57" s="112">
        <f t="shared" si="4"/>
        <v>1</v>
      </c>
      <c r="G57" s="112">
        <f t="shared" si="4"/>
        <v>1</v>
      </c>
    </row>
    <row r="59" ht="12">
      <c r="A59" t="s">
        <v>404</v>
      </c>
    </row>
    <row r="60" ht="12">
      <c r="A60" t="s">
        <v>405</v>
      </c>
    </row>
    <row r="61" ht="12">
      <c r="A61" t="s">
        <v>403</v>
      </c>
    </row>
    <row r="62" ht="12">
      <c r="A62" t="s">
        <v>406</v>
      </c>
    </row>
    <row r="63" ht="12">
      <c r="A63" t="s">
        <v>421</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N79"/>
  <sheetViews>
    <sheetView workbookViewId="0" topLeftCell="A1">
      <selection activeCell="A1" sqref="A1"/>
    </sheetView>
  </sheetViews>
  <sheetFormatPr defaultColWidth="11.421875" defaultRowHeight="15.75" customHeight="1"/>
  <cols>
    <col min="1" max="1" width="19.140625" style="177" customWidth="1"/>
    <col min="2" max="2" width="12.7109375" style="176" customWidth="1"/>
    <col min="3" max="3" width="9.421875" style="176" customWidth="1"/>
    <col min="4" max="4" width="10.7109375" style="176" customWidth="1"/>
    <col min="5" max="5" width="11.28125" style="176" customWidth="1"/>
    <col min="6" max="6" width="11.7109375" style="176" customWidth="1"/>
    <col min="7" max="7" width="11.421875" style="176" customWidth="1"/>
    <col min="8" max="9" width="12.140625" style="176" customWidth="1"/>
    <col min="10" max="10" width="12.421875" style="177" customWidth="1"/>
    <col min="11" max="11" width="11.00390625" style="178" customWidth="1"/>
    <col min="12" max="12" width="12.421875" style="177" customWidth="1"/>
    <col min="13" max="13" width="12.421875" style="179" customWidth="1"/>
    <col min="14" max="16384" width="12.421875" style="177" customWidth="1"/>
  </cols>
  <sheetData>
    <row r="1" ht="21" customHeight="1">
      <c r="A1" s="175" t="s">
        <v>9</v>
      </c>
    </row>
    <row r="2" ht="15.75" customHeight="1" thickBot="1"/>
    <row r="3" spans="1:6" ht="19.5" customHeight="1">
      <c r="A3" s="180">
        <v>0.103</v>
      </c>
      <c r="B3" s="181" t="s">
        <v>237</v>
      </c>
      <c r="C3" s="182"/>
      <c r="D3" s="182"/>
      <c r="E3" s="182"/>
      <c r="F3" s="183"/>
    </row>
    <row r="4" spans="1:6" ht="19.5" customHeight="1">
      <c r="A4" s="184">
        <v>20</v>
      </c>
      <c r="B4" s="181" t="s">
        <v>238</v>
      </c>
      <c r="C4" s="182"/>
      <c r="D4" s="182"/>
      <c r="E4" s="182"/>
      <c r="F4" s="183"/>
    </row>
    <row r="5" spans="1:2" ht="18" customHeight="1" thickBot="1">
      <c r="A5" s="185">
        <v>1</v>
      </c>
      <c r="B5" s="186" t="s">
        <v>239</v>
      </c>
    </row>
    <row r="6" spans="1:2" ht="18" customHeight="1">
      <c r="A6" s="176"/>
      <c r="B6" s="187"/>
    </row>
    <row r="7" spans="1:4" ht="18" customHeight="1">
      <c r="A7" s="188"/>
      <c r="B7" s="188"/>
      <c r="C7" s="183"/>
      <c r="D7" s="183"/>
    </row>
    <row r="8" spans="1:11" ht="21" customHeight="1">
      <c r="A8" s="189" t="s">
        <v>240</v>
      </c>
      <c r="B8" s="190" t="s">
        <v>241</v>
      </c>
      <c r="C8" s="191"/>
      <c r="D8" s="191"/>
      <c r="E8" s="191"/>
      <c r="F8" s="191"/>
      <c r="G8" s="191"/>
      <c r="H8" s="192"/>
      <c r="I8" s="193" t="s">
        <v>242</v>
      </c>
      <c r="J8" s="194"/>
      <c r="K8" s="195"/>
    </row>
    <row r="9" spans="1:11" s="202" customFormat="1" ht="39">
      <c r="A9" s="196"/>
      <c r="B9" s="197" t="s">
        <v>243</v>
      </c>
      <c r="C9" s="198" t="s">
        <v>244</v>
      </c>
      <c r="D9" s="198" t="s">
        <v>245</v>
      </c>
      <c r="E9" s="198" t="s">
        <v>246</v>
      </c>
      <c r="F9" s="198" t="s">
        <v>247</v>
      </c>
      <c r="G9" s="198" t="s">
        <v>248</v>
      </c>
      <c r="H9" s="198" t="s">
        <v>249</v>
      </c>
      <c r="I9" s="199" t="s">
        <v>250</v>
      </c>
      <c r="J9" s="200" t="s">
        <v>251</v>
      </c>
      <c r="K9" s="201" t="s">
        <v>252</v>
      </c>
    </row>
    <row r="10" spans="1:14" ht="18" customHeight="1">
      <c r="A10" s="203" t="s">
        <v>253</v>
      </c>
      <c r="B10" s="204">
        <v>2058</v>
      </c>
      <c r="C10" s="205">
        <v>0.74</v>
      </c>
      <c r="D10" s="206">
        <f aca="true" t="shared" si="0" ref="D10:D21">A$4</f>
        <v>20</v>
      </c>
      <c r="E10" s="207">
        <v>0.0046</v>
      </c>
      <c r="F10" s="208">
        <f>27.53</f>
        <v>27.53</v>
      </c>
      <c r="G10" s="209">
        <v>1.93</v>
      </c>
      <c r="H10" s="210">
        <f>3412/9200</f>
        <v>0.3708695652173913</v>
      </c>
      <c r="I10" s="211">
        <f>PMT($A$3,$D10,-$B10)/(24*365*$C10)</f>
        <v>0.03805695193826553</v>
      </c>
      <c r="J10" s="212">
        <f>E10+G10/293/H10+$F10/(24*365*$C10)</f>
        <v>0.02660792800670632</v>
      </c>
      <c r="K10" s="213">
        <f>J10+I10</f>
        <v>0.06466487994497186</v>
      </c>
      <c r="M10" s="202"/>
      <c r="N10" s="202"/>
    </row>
    <row r="11" spans="1:14" ht="18" customHeight="1">
      <c r="A11" s="203" t="s">
        <v>254</v>
      </c>
      <c r="B11" s="214">
        <v>2378</v>
      </c>
      <c r="C11" s="215">
        <v>0.74</v>
      </c>
      <c r="D11" s="216">
        <f t="shared" si="0"/>
        <v>20</v>
      </c>
      <c r="E11" s="217">
        <v>0.0029</v>
      </c>
      <c r="F11" s="183">
        <v>38.67</v>
      </c>
      <c r="G11" s="218">
        <v>1.93</v>
      </c>
      <c r="H11" s="219">
        <f>3412/8765</f>
        <v>0.3892755276668568</v>
      </c>
      <c r="I11" s="220">
        <f aca="true" t="shared" si="1" ref="I11:I21">PMT($A$3,$D11,-$B11)/(24*365*$C11)</f>
        <v>0.043974456612825764</v>
      </c>
      <c r="J11" s="221">
        <f aca="true" t="shared" si="2" ref="J11:J21">E11+G11/293/H11+$F11/(24*365*$C11)</f>
        <v>0.025786638828011386</v>
      </c>
      <c r="K11" s="213">
        <f aca="true" t="shared" si="3" ref="K11:K21">J11+I11</f>
        <v>0.06976109544083715</v>
      </c>
      <c r="M11" s="202"/>
      <c r="N11" s="202"/>
    </row>
    <row r="12" spans="1:14" ht="18" customHeight="1">
      <c r="A12" s="203" t="s">
        <v>255</v>
      </c>
      <c r="B12" s="214">
        <v>3496</v>
      </c>
      <c r="C12" s="215">
        <v>0.74</v>
      </c>
      <c r="D12" s="216">
        <f t="shared" si="0"/>
        <v>20</v>
      </c>
      <c r="E12" s="217">
        <v>0.0044</v>
      </c>
      <c r="F12" s="183">
        <v>46.12</v>
      </c>
      <c r="G12" s="218">
        <v>1.93</v>
      </c>
      <c r="H12" s="219">
        <f>3412/10781</f>
        <v>0.31648270104814025</v>
      </c>
      <c r="I12" s="220">
        <f t="shared" si="1"/>
        <v>0.0646487385695706</v>
      </c>
      <c r="J12" s="221">
        <f t="shared" si="2"/>
        <v>0.032327889855903576</v>
      </c>
      <c r="K12" s="213">
        <f t="shared" si="3"/>
        <v>0.09697662842547417</v>
      </c>
      <c r="M12" s="202"/>
      <c r="N12" s="202"/>
    </row>
    <row r="13" spans="1:14" ht="18" customHeight="1">
      <c r="A13" s="203" t="s">
        <v>256</v>
      </c>
      <c r="B13" s="214">
        <v>750</v>
      </c>
      <c r="C13" s="215">
        <v>0.42</v>
      </c>
      <c r="D13" s="216">
        <f>A$4</f>
        <v>20</v>
      </c>
      <c r="E13" s="217">
        <v>0.002</v>
      </c>
      <c r="F13" s="183">
        <v>11.7</v>
      </c>
      <c r="G13" s="218">
        <v>8.87</v>
      </c>
      <c r="H13" s="219">
        <v>0.34</v>
      </c>
      <c r="I13" s="220">
        <f t="shared" si="1"/>
        <v>0.024436124214143838</v>
      </c>
      <c r="J13" s="221">
        <f t="shared" si="2"/>
        <v>0.09421838485265535</v>
      </c>
      <c r="K13" s="213">
        <f>J13+I13</f>
        <v>0.1186545090667992</v>
      </c>
      <c r="M13" s="202"/>
      <c r="N13" s="202"/>
    </row>
    <row r="14" spans="1:14" ht="18" customHeight="1">
      <c r="A14" s="203" t="s">
        <v>257</v>
      </c>
      <c r="B14" s="214">
        <v>948</v>
      </c>
      <c r="C14" s="215">
        <v>0.42</v>
      </c>
      <c r="D14" s="216">
        <f t="shared" si="0"/>
        <v>20</v>
      </c>
      <c r="E14" s="217">
        <v>0.002</v>
      </c>
      <c r="F14" s="183">
        <v>11.7</v>
      </c>
      <c r="G14" s="218">
        <v>8.87</v>
      </c>
      <c r="H14" s="219">
        <f>3412/6752</f>
        <v>0.5053317535545023</v>
      </c>
      <c r="I14" s="220">
        <f t="shared" si="1"/>
        <v>0.030887261006677814</v>
      </c>
      <c r="J14" s="221">
        <f t="shared" si="2"/>
        <v>0.0650872927989827</v>
      </c>
      <c r="K14" s="213">
        <f t="shared" si="3"/>
        <v>0.09597455380566051</v>
      </c>
      <c r="M14" s="202"/>
      <c r="N14" s="202"/>
    </row>
    <row r="15" spans="1:14" ht="18" customHeight="1">
      <c r="A15" s="203" t="s">
        <v>258</v>
      </c>
      <c r="B15" s="214">
        <v>1890</v>
      </c>
      <c r="C15" s="215">
        <v>0.42</v>
      </c>
      <c r="D15" s="216">
        <f t="shared" si="0"/>
        <v>20</v>
      </c>
      <c r="E15" s="217">
        <v>0.0029</v>
      </c>
      <c r="F15" s="183">
        <v>19.9</v>
      </c>
      <c r="G15" s="218">
        <v>8.87</v>
      </c>
      <c r="H15" s="219">
        <f>3412/8613</f>
        <v>0.39614536166260306</v>
      </c>
      <c r="I15" s="220">
        <f t="shared" si="1"/>
        <v>0.06157903301964249</v>
      </c>
      <c r="J15" s="221">
        <f t="shared" si="2"/>
        <v>0.08472779751806547</v>
      </c>
      <c r="K15" s="213">
        <f t="shared" si="3"/>
        <v>0.14630683053770796</v>
      </c>
      <c r="M15" s="202"/>
      <c r="N15" s="202"/>
    </row>
    <row r="16" spans="1:14" ht="18" customHeight="1">
      <c r="A16" s="203" t="s">
        <v>259</v>
      </c>
      <c r="B16" s="214">
        <v>1711</v>
      </c>
      <c r="C16" s="215">
        <v>0.9</v>
      </c>
      <c r="D16" s="216">
        <f t="shared" si="0"/>
        <v>20</v>
      </c>
      <c r="E16" s="217">
        <v>0</v>
      </c>
      <c r="F16" s="183">
        <v>164.64</v>
      </c>
      <c r="G16" s="218">
        <v>0</v>
      </c>
      <c r="H16" s="215">
        <v>1</v>
      </c>
      <c r="I16" s="220">
        <f t="shared" si="1"/>
        <v>0.026015240863360073</v>
      </c>
      <c r="J16" s="221">
        <f t="shared" si="2"/>
        <v>0.020882800608828005</v>
      </c>
      <c r="K16" s="213">
        <f t="shared" si="3"/>
        <v>0.04689804147218808</v>
      </c>
      <c r="M16" s="202"/>
      <c r="N16" s="202"/>
    </row>
    <row r="17" spans="1:14" ht="18" customHeight="1">
      <c r="A17" s="203" t="s">
        <v>260</v>
      </c>
      <c r="B17" s="214">
        <v>2242</v>
      </c>
      <c r="C17" s="215">
        <v>0.65</v>
      </c>
      <c r="D17" s="216">
        <f t="shared" si="0"/>
        <v>20</v>
      </c>
      <c r="E17" s="217">
        <v>0.0024</v>
      </c>
      <c r="F17" s="183">
        <v>13.63</v>
      </c>
      <c r="G17" s="218">
        <v>0</v>
      </c>
      <c r="H17" s="215">
        <v>1</v>
      </c>
      <c r="I17" s="220">
        <f t="shared" si="1"/>
        <v>0.04720006565129519</v>
      </c>
      <c r="J17" s="221">
        <f t="shared" si="2"/>
        <v>0.0047937478047067085</v>
      </c>
      <c r="K17" s="213">
        <f t="shared" si="3"/>
        <v>0.0519938134560019</v>
      </c>
      <c r="M17" s="202"/>
      <c r="N17" s="202"/>
    </row>
    <row r="18" spans="1:14" ht="18" customHeight="1">
      <c r="A18" s="203" t="s">
        <v>261</v>
      </c>
      <c r="B18" s="214">
        <v>1923</v>
      </c>
      <c r="C18" s="215">
        <v>0.38</v>
      </c>
      <c r="D18" s="216">
        <f t="shared" si="0"/>
        <v>20</v>
      </c>
      <c r="E18" s="217">
        <v>0</v>
      </c>
      <c r="F18" s="183">
        <v>30.3</v>
      </c>
      <c r="G18" s="218">
        <v>0</v>
      </c>
      <c r="H18" s="215">
        <v>1</v>
      </c>
      <c r="I18" s="220">
        <f t="shared" si="1"/>
        <v>0.06924940379928216</v>
      </c>
      <c r="J18" s="221">
        <f t="shared" si="2"/>
        <v>0.009102379235760634</v>
      </c>
      <c r="K18" s="213">
        <f t="shared" si="3"/>
        <v>0.07835178303504278</v>
      </c>
      <c r="M18" s="202"/>
      <c r="N18" s="202"/>
    </row>
    <row r="19" spans="1:14" ht="18" customHeight="1">
      <c r="A19" s="203" t="s">
        <v>262</v>
      </c>
      <c r="B19" s="214">
        <v>3851</v>
      </c>
      <c r="C19" s="215">
        <v>0.4</v>
      </c>
      <c r="D19" s="216">
        <f t="shared" si="0"/>
        <v>20</v>
      </c>
      <c r="E19" s="217">
        <v>0</v>
      </c>
      <c r="F19" s="183">
        <v>89.48</v>
      </c>
      <c r="G19" s="218">
        <v>0</v>
      </c>
      <c r="H19" s="215">
        <v>1</v>
      </c>
      <c r="I19" s="220">
        <f t="shared" si="1"/>
        <v>0.1317449200881351</v>
      </c>
      <c r="J19" s="221">
        <f t="shared" si="2"/>
        <v>0.025536529680365298</v>
      </c>
      <c r="K19" s="213">
        <f t="shared" si="3"/>
        <v>0.1572814497685004</v>
      </c>
      <c r="M19" s="202"/>
      <c r="N19" s="202"/>
    </row>
    <row r="20" spans="1:14" ht="18" customHeight="1">
      <c r="A20" s="203" t="s">
        <v>263</v>
      </c>
      <c r="B20" s="214">
        <v>5021</v>
      </c>
      <c r="C20" s="215">
        <v>0.31</v>
      </c>
      <c r="D20" s="216">
        <f t="shared" si="0"/>
        <v>20</v>
      </c>
      <c r="E20" s="217">
        <v>0</v>
      </c>
      <c r="F20" s="183">
        <v>56.78</v>
      </c>
      <c r="G20" s="218">
        <v>0</v>
      </c>
      <c r="H20" s="215">
        <v>1</v>
      </c>
      <c r="I20" s="220">
        <f t="shared" si="1"/>
        <v>0.2216403761947132</v>
      </c>
      <c r="J20" s="221">
        <f t="shared" si="2"/>
        <v>0.020908823096185008</v>
      </c>
      <c r="K20" s="213">
        <f t="shared" si="3"/>
        <v>0.2425491992908982</v>
      </c>
      <c r="M20" s="202"/>
      <c r="N20" s="202"/>
    </row>
    <row r="21" spans="1:14" ht="18" customHeight="1">
      <c r="A21" s="222" t="s">
        <v>264</v>
      </c>
      <c r="B21" s="223">
        <v>6038</v>
      </c>
      <c r="C21" s="224">
        <v>0.21</v>
      </c>
      <c r="D21" s="225">
        <f t="shared" si="0"/>
        <v>20</v>
      </c>
      <c r="E21" s="226">
        <v>0</v>
      </c>
      <c r="F21" s="227">
        <v>11.68</v>
      </c>
      <c r="G21" s="228">
        <v>0</v>
      </c>
      <c r="H21" s="224">
        <v>1</v>
      </c>
      <c r="I21" s="229">
        <f t="shared" si="1"/>
        <v>0.39345418134666804</v>
      </c>
      <c r="J21" s="230">
        <f t="shared" si="2"/>
        <v>0.006349206349206349</v>
      </c>
      <c r="K21" s="231">
        <f t="shared" si="3"/>
        <v>0.39980338769587437</v>
      </c>
      <c r="M21" s="202"/>
      <c r="N21" s="202"/>
    </row>
    <row r="22" spans="13:14" ht="15.75" customHeight="1">
      <c r="M22" s="202"/>
      <c r="N22" s="202"/>
    </row>
    <row r="23" spans="13:14" ht="15.75" customHeight="1">
      <c r="M23" s="202"/>
      <c r="N23" s="202"/>
    </row>
    <row r="24" spans="1:14" ht="21" customHeight="1">
      <c r="A24" s="189" t="s">
        <v>265</v>
      </c>
      <c r="B24" s="190" t="s">
        <v>241</v>
      </c>
      <c r="C24" s="191"/>
      <c r="D24" s="191"/>
      <c r="E24" s="191"/>
      <c r="F24" s="191"/>
      <c r="G24" s="191"/>
      <c r="H24" s="192"/>
      <c r="I24" s="193" t="s">
        <v>242</v>
      </c>
      <c r="J24" s="194"/>
      <c r="K24" s="195"/>
      <c r="M24" s="202"/>
      <c r="N24" s="202"/>
    </row>
    <row r="25" spans="1:14" ht="39">
      <c r="A25" s="196"/>
      <c r="B25" s="198" t="s">
        <v>243</v>
      </c>
      <c r="C25" s="198" t="s">
        <v>244</v>
      </c>
      <c r="D25" s="198" t="s">
        <v>245</v>
      </c>
      <c r="E25" s="198" t="s">
        <v>246</v>
      </c>
      <c r="F25" s="198" t="s">
        <v>247</v>
      </c>
      <c r="G25" s="198" t="s">
        <v>248</v>
      </c>
      <c r="H25" s="198" t="s">
        <v>249</v>
      </c>
      <c r="I25" s="199" t="s">
        <v>250</v>
      </c>
      <c r="J25" s="200" t="s">
        <v>251</v>
      </c>
      <c r="K25" s="201" t="s">
        <v>252</v>
      </c>
      <c r="M25" s="202"/>
      <c r="N25" s="202"/>
    </row>
    <row r="26" spans="1:14" ht="18" customHeight="1">
      <c r="A26" s="203" t="s">
        <v>253</v>
      </c>
      <c r="B26" s="232">
        <v>1654</v>
      </c>
      <c r="C26" s="215">
        <f>C10*1.05</f>
        <v>0.777</v>
      </c>
      <c r="D26" s="206">
        <f aca="true" t="shared" si="4" ref="D26:D37">A$4</f>
        <v>20</v>
      </c>
      <c r="E26" s="207">
        <v>0.0046</v>
      </c>
      <c r="F26" s="208">
        <v>27.53</v>
      </c>
      <c r="G26" s="218">
        <v>2.04</v>
      </c>
      <c r="H26" s="219">
        <f>3412/8740</f>
        <v>0.3903890160183066</v>
      </c>
      <c r="I26" s="211">
        <f aca="true" t="shared" si="5" ref="I26:I37">PMT($A$3,$D26,-$B26)/(24*365*$C26)</f>
        <v>0.02912962122536498</v>
      </c>
      <c r="J26" s="212">
        <f>E26+G26/293/H26+$F26/(24*365*$C26)</f>
        <v>0.026479316349798027</v>
      </c>
      <c r="K26" s="233">
        <f aca="true" t="shared" si="6" ref="K26:K37">J26+I26</f>
        <v>0.05560893757516301</v>
      </c>
      <c r="M26" s="202"/>
      <c r="N26" s="202"/>
    </row>
    <row r="27" spans="1:14" ht="18" customHeight="1">
      <c r="A27" s="203" t="s">
        <v>254</v>
      </c>
      <c r="B27" s="232">
        <v>1804</v>
      </c>
      <c r="C27" s="215">
        <f>C11*1.05</f>
        <v>0.777</v>
      </c>
      <c r="D27" s="216">
        <f t="shared" si="4"/>
        <v>20</v>
      </c>
      <c r="E27" s="217">
        <v>0.0029</v>
      </c>
      <c r="F27" s="183">
        <v>38.67</v>
      </c>
      <c r="G27" s="218">
        <v>2.04</v>
      </c>
      <c r="H27" s="219">
        <f>3412/7450</f>
        <v>0.45798657718120805</v>
      </c>
      <c r="I27" s="220">
        <f t="shared" si="5"/>
        <v>0.0317713643836508</v>
      </c>
      <c r="J27" s="221">
        <f aca="true" t="shared" si="7" ref="J27:J37">E27+G27/293/H27+$F27/(24*365*$C27)</f>
        <v>0.023783634783311056</v>
      </c>
      <c r="K27" s="213">
        <f t="shared" si="6"/>
        <v>0.055554999166961855</v>
      </c>
      <c r="M27" s="202"/>
      <c r="N27" s="202"/>
    </row>
    <row r="28" spans="1:14" ht="18" customHeight="1">
      <c r="A28" s="203" t="s">
        <v>255</v>
      </c>
      <c r="B28" s="232">
        <v>2533</v>
      </c>
      <c r="C28" s="215">
        <f>C12*1.05</f>
        <v>0.777</v>
      </c>
      <c r="D28" s="216">
        <f t="shared" si="4"/>
        <v>20</v>
      </c>
      <c r="E28" s="217">
        <v>0.0044</v>
      </c>
      <c r="F28" s="183">
        <v>46.12</v>
      </c>
      <c r="G28" s="218">
        <v>2.04</v>
      </c>
      <c r="H28" s="219">
        <f>3412/8307</f>
        <v>0.41073793186469243</v>
      </c>
      <c r="I28" s="220">
        <f t="shared" si="5"/>
        <v>0.04461023613291989</v>
      </c>
      <c r="J28" s="221">
        <f t="shared" si="7"/>
        <v>0.028126950201652033</v>
      </c>
      <c r="K28" s="213">
        <f t="shared" si="6"/>
        <v>0.07273718633457192</v>
      </c>
      <c r="M28" s="202"/>
      <c r="N28" s="202"/>
    </row>
    <row r="29" spans="1:14" ht="18" customHeight="1">
      <c r="A29" s="203" t="s">
        <v>256</v>
      </c>
      <c r="B29" s="232">
        <v>700</v>
      </c>
      <c r="C29" s="215">
        <f>C13*1.1</f>
        <v>0.462</v>
      </c>
      <c r="D29" s="216">
        <f>A$4</f>
        <v>20</v>
      </c>
      <c r="E29" s="217">
        <v>0.002</v>
      </c>
      <c r="F29" s="183">
        <v>11.7</v>
      </c>
      <c r="G29" s="218">
        <v>8.34</v>
      </c>
      <c r="H29" s="219">
        <v>0.36</v>
      </c>
      <c r="I29" s="220">
        <f t="shared" si="5"/>
        <v>0.02073368115139477</v>
      </c>
      <c r="J29" s="221">
        <f t="shared" si="7"/>
        <v>0.08395806640100437</v>
      </c>
      <c r="K29" s="213">
        <f>J29+I29</f>
        <v>0.10469174755239913</v>
      </c>
      <c r="M29" s="202"/>
      <c r="N29" s="202"/>
    </row>
    <row r="30" spans="1:14" ht="18" customHeight="1">
      <c r="A30" s="203" t="s">
        <v>257</v>
      </c>
      <c r="B30" s="232">
        <v>717</v>
      </c>
      <c r="C30" s="215">
        <f>C14*1.1</f>
        <v>0.462</v>
      </c>
      <c r="D30" s="216">
        <f t="shared" si="4"/>
        <v>20</v>
      </c>
      <c r="E30" s="217">
        <v>0.002</v>
      </c>
      <c r="F30" s="183">
        <v>11.7</v>
      </c>
      <c r="G30" s="218">
        <v>8.34</v>
      </c>
      <c r="H30" s="219">
        <f>3412/6333</f>
        <v>0.5387651981683247</v>
      </c>
      <c r="I30" s="220">
        <f t="shared" si="5"/>
        <v>0.021237213407928647</v>
      </c>
      <c r="J30" s="221">
        <f t="shared" si="7"/>
        <v>0.05772316902348247</v>
      </c>
      <c r="K30" s="213">
        <f t="shared" si="6"/>
        <v>0.07896038243141112</v>
      </c>
      <c r="M30" s="202"/>
      <c r="N30" s="202"/>
    </row>
    <row r="31" spans="1:14" ht="18" customHeight="1">
      <c r="A31" s="203" t="s">
        <v>258</v>
      </c>
      <c r="B31" s="232">
        <v>1340</v>
      </c>
      <c r="C31" s="215">
        <f>C15*1.1</f>
        <v>0.462</v>
      </c>
      <c r="D31" s="216">
        <f t="shared" si="4"/>
        <v>20</v>
      </c>
      <c r="E31" s="217">
        <v>0.0029</v>
      </c>
      <c r="F31" s="183">
        <v>19.9</v>
      </c>
      <c r="G31" s="218">
        <v>8.34</v>
      </c>
      <c r="H31" s="219">
        <f>3412/7493</f>
        <v>0.45535833444548246</v>
      </c>
      <c r="I31" s="220">
        <f t="shared" si="5"/>
        <v>0.039690189632669994</v>
      </c>
      <c r="J31" s="221">
        <f t="shared" si="7"/>
        <v>0.07032644949672101</v>
      </c>
      <c r="K31" s="213">
        <f t="shared" si="6"/>
        <v>0.110016639129391</v>
      </c>
      <c r="M31" s="202"/>
      <c r="N31" s="202"/>
    </row>
    <row r="32" spans="1:14" ht="18" customHeight="1">
      <c r="A32" s="203" t="s">
        <v>259</v>
      </c>
      <c r="B32" s="232">
        <v>3942</v>
      </c>
      <c r="C32" s="215">
        <v>0.9</v>
      </c>
      <c r="D32" s="216">
        <f t="shared" si="4"/>
        <v>20</v>
      </c>
      <c r="E32" s="217">
        <v>0</v>
      </c>
      <c r="F32" s="183">
        <v>164.64</v>
      </c>
      <c r="G32" s="218">
        <v>0</v>
      </c>
      <c r="H32" s="215">
        <v>1</v>
      </c>
      <c r="I32" s="220">
        <f t="shared" si="5"/>
        <v>0.05993692547245201</v>
      </c>
      <c r="J32" s="221">
        <f t="shared" si="7"/>
        <v>0.020882800608828005</v>
      </c>
      <c r="K32" s="213">
        <f t="shared" si="6"/>
        <v>0.08081972608128002</v>
      </c>
      <c r="M32" s="202"/>
      <c r="N32" s="202"/>
    </row>
    <row r="33" spans="1:14" ht="18" customHeight="1">
      <c r="A33" s="203" t="s">
        <v>260</v>
      </c>
      <c r="B33" s="232">
        <v>1920</v>
      </c>
      <c r="C33" s="215">
        <v>0.55</v>
      </c>
      <c r="D33" s="216">
        <f t="shared" si="4"/>
        <v>20</v>
      </c>
      <c r="E33" s="217">
        <v>0.0024</v>
      </c>
      <c r="F33" s="183">
        <v>13.63</v>
      </c>
      <c r="G33" s="218">
        <v>0</v>
      </c>
      <c r="H33" s="215">
        <v>1</v>
      </c>
      <c r="I33" s="220">
        <f t="shared" si="5"/>
        <v>0.04777040137281356</v>
      </c>
      <c r="J33" s="221">
        <f t="shared" si="7"/>
        <v>0.005228974678289746</v>
      </c>
      <c r="K33" s="213">
        <f t="shared" si="6"/>
        <v>0.05299937605110331</v>
      </c>
      <c r="M33" s="202"/>
      <c r="N33" s="202"/>
    </row>
    <row r="34" spans="1:14" ht="18" customHeight="1">
      <c r="A34" s="203" t="s">
        <v>261</v>
      </c>
      <c r="B34" s="232">
        <f>1615*A5</f>
        <v>1615</v>
      </c>
      <c r="C34" s="215">
        <v>0.46</v>
      </c>
      <c r="D34" s="216">
        <f t="shared" si="4"/>
        <v>20</v>
      </c>
      <c r="E34" s="217">
        <v>0</v>
      </c>
      <c r="F34" s="183">
        <v>30.3</v>
      </c>
      <c r="G34" s="218">
        <v>0</v>
      </c>
      <c r="H34" s="215">
        <v>1</v>
      </c>
      <c r="I34" s="220">
        <f t="shared" si="5"/>
        <v>0.04804354508537323</v>
      </c>
      <c r="J34" s="221">
        <f t="shared" si="7"/>
        <v>0.007519356759976176</v>
      </c>
      <c r="K34" s="213">
        <f t="shared" si="6"/>
        <v>0.055562901845349406</v>
      </c>
      <c r="M34" s="202"/>
      <c r="N34" s="202"/>
    </row>
    <row r="35" spans="1:14" ht="18" customHeight="1">
      <c r="A35" s="203" t="s">
        <v>262</v>
      </c>
      <c r="B35" s="232">
        <f>2859*A5</f>
        <v>2859</v>
      </c>
      <c r="C35" s="215">
        <v>0.4</v>
      </c>
      <c r="D35" s="216">
        <f t="shared" si="4"/>
        <v>20</v>
      </c>
      <c r="E35" s="217">
        <v>0</v>
      </c>
      <c r="F35" s="183">
        <v>89.48</v>
      </c>
      <c r="G35" s="218">
        <v>0</v>
      </c>
      <c r="H35" s="215">
        <v>1</v>
      </c>
      <c r="I35" s="220">
        <f t="shared" si="5"/>
        <v>0.09780803077953215</v>
      </c>
      <c r="J35" s="221">
        <f t="shared" si="7"/>
        <v>0.025536529680365298</v>
      </c>
      <c r="K35" s="213">
        <f t="shared" si="6"/>
        <v>0.12334456045989745</v>
      </c>
      <c r="M35" s="202"/>
      <c r="N35" s="202"/>
    </row>
    <row r="36" spans="1:14" ht="18" customHeight="1">
      <c r="A36" s="203" t="s">
        <v>263</v>
      </c>
      <c r="B36" s="232">
        <f>3082*A5</f>
        <v>3082</v>
      </c>
      <c r="C36" s="215">
        <v>0.31</v>
      </c>
      <c r="D36" s="216">
        <f t="shared" si="4"/>
        <v>20</v>
      </c>
      <c r="E36" s="217">
        <v>0</v>
      </c>
      <c r="F36" s="183">
        <v>56.78</v>
      </c>
      <c r="G36" s="218">
        <v>0</v>
      </c>
      <c r="H36" s="215">
        <v>1</v>
      </c>
      <c r="I36" s="220">
        <f t="shared" si="5"/>
        <v>0.13604772743121013</v>
      </c>
      <c r="J36" s="221">
        <f t="shared" si="7"/>
        <v>0.020908823096185008</v>
      </c>
      <c r="K36" s="213">
        <f t="shared" si="6"/>
        <v>0.15695655052739513</v>
      </c>
      <c r="M36" s="202"/>
      <c r="N36" s="202"/>
    </row>
    <row r="37" spans="1:14" ht="18" customHeight="1">
      <c r="A37" s="222" t="s">
        <v>264</v>
      </c>
      <c r="B37" s="234">
        <f>3823*A5</f>
        <v>3823</v>
      </c>
      <c r="C37" s="224">
        <v>0.21</v>
      </c>
      <c r="D37" s="225">
        <f t="shared" si="4"/>
        <v>20</v>
      </c>
      <c r="E37" s="226">
        <v>0</v>
      </c>
      <c r="F37" s="227">
        <v>11.68</v>
      </c>
      <c r="G37" s="228">
        <v>0</v>
      </c>
      <c r="H37" s="224">
        <v>1</v>
      </c>
      <c r="I37" s="229">
        <f t="shared" si="5"/>
        <v>0.24911814098845841</v>
      </c>
      <c r="J37" s="230">
        <f t="shared" si="7"/>
        <v>0.006349206349206349</v>
      </c>
      <c r="K37" s="231">
        <f t="shared" si="6"/>
        <v>0.25546734733766474</v>
      </c>
      <c r="M37" s="202"/>
      <c r="N37" s="202"/>
    </row>
    <row r="38" spans="13:14" ht="15.75" customHeight="1">
      <c r="M38" s="202"/>
      <c r="N38" s="202"/>
    </row>
    <row r="39" spans="1:14" ht="15.75" customHeight="1">
      <c r="A39" s="177" t="s">
        <v>266</v>
      </c>
      <c r="M39" s="202"/>
      <c r="N39" s="202"/>
    </row>
    <row r="40" ht="15.75" customHeight="1">
      <c r="A40" s="177" t="s">
        <v>267</v>
      </c>
    </row>
    <row r="41" ht="12" customHeight="1"/>
    <row r="42" spans="1:11" ht="55.5" customHeight="1">
      <c r="A42" s="235" t="s">
        <v>10</v>
      </c>
      <c r="B42" s="236"/>
      <c r="C42" s="236"/>
      <c r="D42" s="236"/>
      <c r="E42" s="236"/>
      <c r="F42" s="236"/>
      <c r="G42" s="236"/>
      <c r="H42" s="236"/>
      <c r="I42" s="236"/>
      <c r="J42" s="236"/>
      <c r="K42" s="236"/>
    </row>
    <row r="43" spans="1:11" ht="15" customHeight="1">
      <c r="A43" s="202"/>
      <c r="B43" s="237"/>
      <c r="C43" s="237"/>
      <c r="D43" s="237"/>
      <c r="E43" s="237"/>
      <c r="F43" s="237"/>
      <c r="G43" s="237"/>
      <c r="H43" s="237"/>
      <c r="I43" s="237"/>
      <c r="J43" s="202"/>
      <c r="K43" s="238"/>
    </row>
    <row r="44" spans="1:11" ht="67.5" customHeight="1">
      <c r="A44" s="235" t="s">
        <v>11</v>
      </c>
      <c r="B44" s="236"/>
      <c r="C44" s="236"/>
      <c r="D44" s="236"/>
      <c r="E44" s="236"/>
      <c r="F44" s="236"/>
      <c r="G44" s="236"/>
      <c r="H44" s="236"/>
      <c r="I44" s="236"/>
      <c r="J44" s="236"/>
      <c r="K44" s="236"/>
    </row>
    <row r="45" spans="1:11" ht="13.5" customHeight="1">
      <c r="A45" s="202"/>
      <c r="B45" s="237"/>
      <c r="C45" s="237"/>
      <c r="D45" s="237"/>
      <c r="E45" s="237"/>
      <c r="F45" s="237"/>
      <c r="G45" s="237"/>
      <c r="H45" s="237"/>
      <c r="I45" s="237"/>
      <c r="J45" s="202"/>
      <c r="K45" s="238"/>
    </row>
    <row r="46" spans="1:11" ht="27.75" customHeight="1">
      <c r="A46" s="235" t="s">
        <v>12</v>
      </c>
      <c r="B46" s="236"/>
      <c r="C46" s="236"/>
      <c r="D46" s="236"/>
      <c r="E46" s="236"/>
      <c r="F46" s="236"/>
      <c r="G46" s="236"/>
      <c r="H46" s="236"/>
      <c r="I46" s="236"/>
      <c r="J46" s="236"/>
      <c r="K46" s="236"/>
    </row>
    <row r="47" spans="1:11" ht="13.5" customHeight="1">
      <c r="A47" s="202"/>
      <c r="B47" s="237"/>
      <c r="C47" s="237"/>
      <c r="D47" s="237"/>
      <c r="E47" s="237"/>
      <c r="F47" s="237"/>
      <c r="G47" s="237"/>
      <c r="H47" s="237"/>
      <c r="I47" s="237"/>
      <c r="J47" s="202"/>
      <c r="K47" s="238"/>
    </row>
    <row r="48" spans="1:11" ht="31.5" customHeight="1">
      <c r="A48" s="235" t="s">
        <v>13</v>
      </c>
      <c r="B48" s="236"/>
      <c r="C48" s="236"/>
      <c r="D48" s="236"/>
      <c r="E48" s="236"/>
      <c r="F48" s="236"/>
      <c r="G48" s="236"/>
      <c r="H48" s="236"/>
      <c r="I48" s="236"/>
      <c r="J48" s="236"/>
      <c r="K48" s="236"/>
    </row>
    <row r="49" spans="1:11" ht="12.75" customHeight="1">
      <c r="A49" s="202"/>
      <c r="B49" s="237"/>
      <c r="C49" s="237"/>
      <c r="D49" s="237"/>
      <c r="E49" s="237"/>
      <c r="F49" s="237"/>
      <c r="G49" s="237"/>
      <c r="H49" s="237"/>
      <c r="I49" s="237"/>
      <c r="J49" s="202"/>
      <c r="K49" s="238"/>
    </row>
    <row r="50" spans="1:11" ht="21.75" customHeight="1">
      <c r="A50" s="239" t="s">
        <v>0</v>
      </c>
      <c r="B50" s="237"/>
      <c r="C50" s="237"/>
      <c r="D50" s="237"/>
      <c r="E50" s="237"/>
      <c r="F50" s="237"/>
      <c r="G50" s="237"/>
      <c r="H50" s="237"/>
      <c r="I50" s="237"/>
      <c r="J50" s="202"/>
      <c r="K50" s="238"/>
    </row>
    <row r="51" ht="12" customHeight="1"/>
    <row r="52" spans="1:11" ht="54.75" customHeight="1">
      <c r="A52" s="235" t="s">
        <v>1</v>
      </c>
      <c r="B52" s="236"/>
      <c r="C52" s="236"/>
      <c r="D52" s="236"/>
      <c r="E52" s="236"/>
      <c r="F52" s="236"/>
      <c r="G52" s="236"/>
      <c r="H52" s="236"/>
      <c r="I52" s="236"/>
      <c r="J52" s="236"/>
      <c r="K52" s="236"/>
    </row>
    <row r="53" ht="10.5" customHeight="1"/>
    <row r="54" spans="1:11" ht="39.75" customHeight="1">
      <c r="A54" s="235" t="s">
        <v>2</v>
      </c>
      <c r="B54" s="240"/>
      <c r="C54" s="240"/>
      <c r="D54" s="240"/>
      <c r="E54" s="240"/>
      <c r="F54" s="240"/>
      <c r="G54" s="240"/>
      <c r="H54" s="240"/>
      <c r="I54" s="240"/>
      <c r="J54" s="240"/>
      <c r="K54" s="240"/>
    </row>
    <row r="56" ht="21.75" customHeight="1"/>
    <row r="58" ht="15.75" customHeight="1">
      <c r="A58" s="241" t="s">
        <v>188</v>
      </c>
    </row>
    <row r="60" spans="2:3" ht="15.75" customHeight="1">
      <c r="B60" s="242" t="s">
        <v>189</v>
      </c>
      <c r="C60" s="243" t="s">
        <v>190</v>
      </c>
    </row>
    <row r="61" spans="2:4" ht="15.75" customHeight="1">
      <c r="B61" s="244">
        <v>0.38</v>
      </c>
      <c r="C61" s="244">
        <v>0.38</v>
      </c>
      <c r="D61" s="187" t="s">
        <v>191</v>
      </c>
    </row>
    <row r="62" spans="2:4" ht="15.75" customHeight="1">
      <c r="B62" s="244">
        <v>0.45</v>
      </c>
      <c r="C62" s="244">
        <v>0.45</v>
      </c>
      <c r="D62" s="176" t="s">
        <v>192</v>
      </c>
    </row>
    <row r="63" spans="2:4" ht="15.75" customHeight="1">
      <c r="B63" s="244">
        <v>0.158</v>
      </c>
      <c r="C63" s="244">
        <v>0.1</v>
      </c>
      <c r="D63" s="187" t="s">
        <v>193</v>
      </c>
    </row>
    <row r="64" spans="2:4" ht="15.75" customHeight="1">
      <c r="B64" s="244">
        <v>0.059</v>
      </c>
      <c r="C64" s="244">
        <v>0.065</v>
      </c>
      <c r="D64" s="187" t="s">
        <v>194</v>
      </c>
    </row>
    <row r="65" spans="2:4" ht="15.75" customHeight="1">
      <c r="B65" s="245">
        <f>B62*(1-B61)*B64+(1-B62)*B63</f>
        <v>0.10336100000000001</v>
      </c>
      <c r="C65" s="245">
        <f>C62*(1-C61)*C64+(1-C62)*C63</f>
        <v>0.073135</v>
      </c>
      <c r="D65" s="187" t="s">
        <v>195</v>
      </c>
    </row>
    <row r="68" ht="15.75" customHeight="1">
      <c r="A68" s="241" t="s">
        <v>196</v>
      </c>
    </row>
    <row r="70" spans="1:9" ht="15.75" customHeight="1">
      <c r="A70" s="246"/>
      <c r="B70" s="247" t="s">
        <v>197</v>
      </c>
      <c r="C70" s="248"/>
      <c r="D70" s="249" t="s">
        <v>198</v>
      </c>
      <c r="E70" s="250"/>
      <c r="F70" s="243" t="s">
        <v>199</v>
      </c>
      <c r="I70" s="243" t="s">
        <v>200</v>
      </c>
    </row>
    <row r="71" spans="1:10" ht="15.75" customHeight="1">
      <c r="A71" s="203"/>
      <c r="B71" s="251">
        <v>2008</v>
      </c>
      <c r="C71" s="252">
        <v>2030</v>
      </c>
      <c r="D71" s="253">
        <v>2008</v>
      </c>
      <c r="E71" s="254">
        <v>2030</v>
      </c>
      <c r="F71" s="242">
        <v>2008</v>
      </c>
      <c r="G71" s="242">
        <v>2030</v>
      </c>
      <c r="I71" s="242">
        <v>2008</v>
      </c>
      <c r="J71" s="242">
        <v>2030</v>
      </c>
    </row>
    <row r="72" spans="1:11" ht="15.75" customHeight="1">
      <c r="A72" s="203" t="s">
        <v>357</v>
      </c>
      <c r="B72" s="255">
        <v>6.2</v>
      </c>
      <c r="C72" s="256">
        <v>6</v>
      </c>
      <c r="D72" s="257">
        <f aca="true" t="shared" si="8" ref="D72:E77">F72/F$78</f>
        <v>0.4904364884747425</v>
      </c>
      <c r="E72" s="258">
        <f t="shared" si="8"/>
        <v>0.45990049751243783</v>
      </c>
      <c r="F72" s="176">
        <v>2000</v>
      </c>
      <c r="G72" s="176">
        <v>2311</v>
      </c>
      <c r="I72" s="176">
        <v>839</v>
      </c>
      <c r="J72" s="182">
        <v>976</v>
      </c>
      <c r="K72" s="259" t="s">
        <v>201</v>
      </c>
    </row>
    <row r="73" spans="1:11" ht="15.75" customHeight="1">
      <c r="A73" s="203" t="s">
        <v>202</v>
      </c>
      <c r="B73" s="260">
        <v>11.5</v>
      </c>
      <c r="C73" s="261">
        <v>11</v>
      </c>
      <c r="D73" s="262">
        <f t="shared" si="8"/>
        <v>0.0781804806277587</v>
      </c>
      <c r="E73" s="263">
        <f t="shared" si="8"/>
        <v>0.050499502487562194</v>
      </c>
      <c r="F73" s="264">
        <f>I72*(1-I73)</f>
        <v>318.82</v>
      </c>
      <c r="G73" s="264">
        <f>J72*(1-J73)</f>
        <v>253.76000000000002</v>
      </c>
      <c r="H73" s="187"/>
      <c r="I73" s="265">
        <v>0.62</v>
      </c>
      <c r="J73" s="266">
        <v>0.74</v>
      </c>
      <c r="K73" s="178" t="s">
        <v>203</v>
      </c>
    </row>
    <row r="74" spans="1:10" ht="15.75" customHeight="1">
      <c r="A74" s="203" t="s">
        <v>204</v>
      </c>
      <c r="B74" s="260">
        <v>9.3</v>
      </c>
      <c r="C74" s="261">
        <v>9</v>
      </c>
      <c r="D74" s="262">
        <f>F74/F$78</f>
        <v>0.12755762628739578</v>
      </c>
      <c r="E74" s="263">
        <f>G74/G$78</f>
        <v>0.14372935323383085</v>
      </c>
      <c r="F74" s="264">
        <f>I72*I73</f>
        <v>520.18</v>
      </c>
      <c r="G74" s="264">
        <f>J72*J73</f>
        <v>722.24</v>
      </c>
      <c r="H74" s="187"/>
      <c r="I74" s="265"/>
      <c r="J74" s="266"/>
    </row>
    <row r="75" spans="1:7" ht="15.75" customHeight="1">
      <c r="A75" s="203" t="s">
        <v>205</v>
      </c>
      <c r="B75" s="260">
        <v>12</v>
      </c>
      <c r="C75" s="261">
        <v>15.1</v>
      </c>
      <c r="D75" s="262">
        <f t="shared" si="8"/>
        <v>0.011280039234919078</v>
      </c>
      <c r="E75" s="263">
        <f t="shared" si="8"/>
        <v>0.009950248756218905</v>
      </c>
      <c r="F75" s="176">
        <v>46</v>
      </c>
      <c r="G75" s="176">
        <v>50</v>
      </c>
    </row>
    <row r="76" spans="1:7" ht="15.75" customHeight="1">
      <c r="A76" s="203" t="s">
        <v>206</v>
      </c>
      <c r="B76" s="260">
        <v>5</v>
      </c>
      <c r="C76" s="261">
        <v>5.5</v>
      </c>
      <c r="D76" s="262">
        <f t="shared" si="8"/>
        <v>0.19592937714565964</v>
      </c>
      <c r="E76" s="263">
        <f t="shared" si="8"/>
        <v>0.1771144278606965</v>
      </c>
      <c r="F76" s="176">
        <v>799</v>
      </c>
      <c r="G76" s="176">
        <v>890</v>
      </c>
    </row>
    <row r="77" spans="1:7" ht="15.75" customHeight="1">
      <c r="A77" s="203" t="s">
        <v>207</v>
      </c>
      <c r="B77" s="267">
        <v>5</v>
      </c>
      <c r="C77" s="268">
        <v>5.3</v>
      </c>
      <c r="D77" s="269">
        <f t="shared" si="8"/>
        <v>0.09661598822952427</v>
      </c>
      <c r="E77" s="270">
        <f t="shared" si="8"/>
        <v>0.15880597014925374</v>
      </c>
      <c r="F77" s="176">
        <v>394</v>
      </c>
      <c r="G77" s="176">
        <v>798</v>
      </c>
    </row>
    <row r="78" spans="1:7" ht="15.75" customHeight="1">
      <c r="A78" s="203" t="s">
        <v>208</v>
      </c>
      <c r="B78" s="271">
        <f>SUMPRODUCT(B72:B77,D72:D77)</f>
        <v>6.724154977930358</v>
      </c>
      <c r="C78" s="272">
        <f>SUMPRODUCT(C72:C77,E72:E77)</f>
        <v>6.57451144278607</v>
      </c>
      <c r="D78" s="183"/>
      <c r="E78" s="273"/>
      <c r="F78" s="242">
        <f>SUM(F72:F77)</f>
        <v>4078</v>
      </c>
      <c r="G78" s="242">
        <f>SUM(G72:G77)</f>
        <v>5025</v>
      </c>
    </row>
    <row r="79" spans="1:5" ht="15.75" customHeight="1">
      <c r="A79" s="222" t="s">
        <v>209</v>
      </c>
      <c r="B79" s="274">
        <v>6.5</v>
      </c>
      <c r="C79" s="275">
        <v>6.9</v>
      </c>
      <c r="D79" s="227"/>
      <c r="E79" s="276"/>
    </row>
  </sheetData>
  <mergeCells count="10">
    <mergeCell ref="A54:K54"/>
    <mergeCell ref="A42:K42"/>
    <mergeCell ref="A52:K52"/>
    <mergeCell ref="A48:K48"/>
    <mergeCell ref="A44:K44"/>
    <mergeCell ref="A46:K46"/>
    <mergeCell ref="B24:H24"/>
    <mergeCell ref="I24:K24"/>
    <mergeCell ref="B8:H8"/>
    <mergeCell ref="I8:K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J90"/>
  <sheetViews>
    <sheetView workbookViewId="0" topLeftCell="A1">
      <selection activeCell="A1" sqref="A1"/>
    </sheetView>
  </sheetViews>
  <sheetFormatPr defaultColWidth="11.421875" defaultRowHeight="19.5" customHeight="1"/>
  <cols>
    <col min="1" max="4" width="12.8515625" style="177" customWidth="1"/>
    <col min="5" max="5" width="23.28125" style="177" customWidth="1"/>
    <col min="6" max="6" width="15.28125" style="177" customWidth="1"/>
    <col min="7" max="7" width="12.421875" style="177" customWidth="1"/>
    <col min="8" max="8" width="12.8515625" style="177" bestFit="1" customWidth="1"/>
    <col min="9" max="16384" width="12.421875" style="177" customWidth="1"/>
  </cols>
  <sheetData>
    <row r="2" ht="19.5" customHeight="1">
      <c r="A2" s="277" t="s">
        <v>210</v>
      </c>
    </row>
    <row r="3" spans="1:8" ht="19.5" customHeight="1">
      <c r="A3" s="176"/>
      <c r="B3" s="176"/>
      <c r="C3" s="176"/>
      <c r="D3" s="176"/>
      <c r="E3" s="176"/>
      <c r="F3" s="176"/>
      <c r="G3" s="176"/>
      <c r="H3" s="176"/>
    </row>
    <row r="4" spans="1:8" ht="19.5" customHeight="1" thickBot="1">
      <c r="A4" s="278" t="s">
        <v>211</v>
      </c>
      <c r="B4" s="278" t="s">
        <v>212</v>
      </c>
      <c r="C4" s="278" t="s">
        <v>213</v>
      </c>
      <c r="D4" s="279"/>
      <c r="H4" s="176"/>
    </row>
    <row r="5" spans="1:8" ht="19.5" customHeight="1">
      <c r="A5" s="280">
        <v>200</v>
      </c>
      <c r="B5" s="281">
        <v>280</v>
      </c>
      <c r="C5" s="282">
        <v>340</v>
      </c>
      <c r="D5" s="283" t="s">
        <v>214</v>
      </c>
      <c r="E5" s="176"/>
      <c r="F5" s="176"/>
      <c r="G5" s="176"/>
      <c r="H5" s="176"/>
    </row>
    <row r="6" spans="1:8" ht="19.5" customHeight="1">
      <c r="A6" s="284">
        <v>1200</v>
      </c>
      <c r="B6" s="285">
        <v>1600</v>
      </c>
      <c r="C6" s="286">
        <v>2000</v>
      </c>
      <c r="D6" s="283" t="s">
        <v>215</v>
      </c>
      <c r="E6" s="176"/>
      <c r="F6" s="176"/>
      <c r="G6" s="176"/>
      <c r="H6" s="176"/>
    </row>
    <row r="7" spans="1:8" ht="19.5" customHeight="1">
      <c r="A7" s="284">
        <v>100000</v>
      </c>
      <c r="B7" s="285">
        <v>125000</v>
      </c>
      <c r="C7" s="286">
        <v>150000</v>
      </c>
      <c r="D7" s="283" t="s">
        <v>216</v>
      </c>
      <c r="E7" s="176"/>
      <c r="F7" s="176"/>
      <c r="G7" s="176"/>
      <c r="H7" s="176"/>
    </row>
    <row r="8" spans="1:8" ht="19.5" customHeight="1">
      <c r="A8" s="284">
        <v>4000</v>
      </c>
      <c r="B8" s="285">
        <v>4000</v>
      </c>
      <c r="C8" s="286">
        <v>4000</v>
      </c>
      <c r="D8" s="283" t="s">
        <v>217</v>
      </c>
      <c r="E8" s="176"/>
      <c r="F8" s="176"/>
      <c r="G8" s="176"/>
      <c r="H8" s="176"/>
    </row>
    <row r="9" spans="1:8" ht="19.5" customHeight="1">
      <c r="A9" s="284">
        <v>0.75</v>
      </c>
      <c r="B9" s="285">
        <v>0.75</v>
      </c>
      <c r="C9" s="286">
        <v>0.75</v>
      </c>
      <c r="D9" s="283" t="s">
        <v>218</v>
      </c>
      <c r="E9" s="176"/>
      <c r="F9" s="176"/>
      <c r="G9" s="176"/>
      <c r="H9" s="176"/>
    </row>
    <row r="10" spans="1:8" ht="19.5" customHeight="1">
      <c r="A10" s="284">
        <v>5000</v>
      </c>
      <c r="B10" s="285">
        <v>5000</v>
      </c>
      <c r="C10" s="286">
        <v>5000</v>
      </c>
      <c r="D10" s="283" t="s">
        <v>219</v>
      </c>
      <c r="E10" s="176"/>
      <c r="F10" s="176"/>
      <c r="G10" s="176"/>
      <c r="H10" s="176"/>
    </row>
    <row r="11" spans="1:8" ht="19.5" customHeight="1">
      <c r="A11" s="287">
        <v>0.7</v>
      </c>
      <c r="B11" s="288">
        <v>0.8</v>
      </c>
      <c r="C11" s="289">
        <v>0.9</v>
      </c>
      <c r="D11" s="283" t="s">
        <v>220</v>
      </c>
      <c r="E11" s="176"/>
      <c r="F11" s="176"/>
      <c r="G11" s="176"/>
      <c r="H11" s="176"/>
    </row>
    <row r="12" spans="1:8" ht="19.5" customHeight="1">
      <c r="A12" s="287">
        <v>0.45</v>
      </c>
      <c r="B12" s="288">
        <v>0.38</v>
      </c>
      <c r="C12" s="289">
        <v>0.33</v>
      </c>
      <c r="D12" s="283" t="s">
        <v>116</v>
      </c>
      <c r="E12" s="176"/>
      <c r="F12" s="176"/>
      <c r="G12" s="176"/>
      <c r="H12" s="176"/>
    </row>
    <row r="13" spans="1:8" ht="19.5" customHeight="1">
      <c r="A13" s="290">
        <v>0.03</v>
      </c>
      <c r="B13" s="291">
        <v>0.04</v>
      </c>
      <c r="C13" s="292">
        <v>0.05</v>
      </c>
      <c r="D13" s="283" t="s">
        <v>117</v>
      </c>
      <c r="E13" s="176"/>
      <c r="F13" s="176"/>
      <c r="G13" s="176"/>
      <c r="H13" s="176"/>
    </row>
    <row r="14" spans="1:8" ht="19.5" customHeight="1">
      <c r="A14" s="287">
        <v>0.4</v>
      </c>
      <c r="B14" s="288">
        <v>0.4</v>
      </c>
      <c r="C14" s="289">
        <v>0.4</v>
      </c>
      <c r="D14" s="283" t="s">
        <v>118</v>
      </c>
      <c r="E14" s="176"/>
      <c r="F14" s="176"/>
      <c r="G14" s="176"/>
      <c r="H14" s="176"/>
    </row>
    <row r="15" spans="1:8" ht="19.5" customHeight="1">
      <c r="A15" s="293">
        <v>0.013</v>
      </c>
      <c r="B15" s="294">
        <v>0.015</v>
      </c>
      <c r="C15" s="295">
        <v>0.018</v>
      </c>
      <c r="D15" s="283" t="s">
        <v>119</v>
      </c>
      <c r="E15" s="176"/>
      <c r="F15" s="176"/>
      <c r="G15" s="176"/>
      <c r="H15" s="176"/>
    </row>
    <row r="16" spans="1:8" ht="19.5" customHeight="1">
      <c r="A16" s="284">
        <v>70</v>
      </c>
      <c r="B16" s="285">
        <v>60</v>
      </c>
      <c r="C16" s="286">
        <v>50</v>
      </c>
      <c r="D16" s="283" t="s">
        <v>120</v>
      </c>
      <c r="E16" s="176"/>
      <c r="F16" s="176"/>
      <c r="G16" s="176"/>
      <c r="H16" s="176"/>
    </row>
    <row r="17" spans="1:8" ht="19.5" customHeight="1">
      <c r="A17" s="284">
        <v>30</v>
      </c>
      <c r="B17" s="285">
        <v>30</v>
      </c>
      <c r="C17" s="286">
        <v>30</v>
      </c>
      <c r="D17" s="283" t="s">
        <v>121</v>
      </c>
      <c r="E17" s="176"/>
      <c r="F17" s="176"/>
      <c r="G17" s="176"/>
      <c r="H17" s="176"/>
    </row>
    <row r="18" spans="1:8" ht="19.5" customHeight="1">
      <c r="A18" s="290">
        <v>0.01</v>
      </c>
      <c r="B18" s="291">
        <v>0.01</v>
      </c>
      <c r="C18" s="292">
        <v>0.015</v>
      </c>
      <c r="D18" s="283" t="s">
        <v>122</v>
      </c>
      <c r="E18" s="176"/>
      <c r="F18" s="176"/>
      <c r="G18" s="176"/>
      <c r="H18" s="176"/>
    </row>
    <row r="19" spans="1:8" ht="19.5" customHeight="1">
      <c r="A19" s="287">
        <v>0.03</v>
      </c>
      <c r="B19" s="288">
        <v>0.07</v>
      </c>
      <c r="C19" s="289">
        <v>0.1</v>
      </c>
      <c r="D19" s="283" t="s">
        <v>123</v>
      </c>
      <c r="E19" s="176"/>
      <c r="F19" s="176"/>
      <c r="G19" s="176"/>
      <c r="H19" s="176"/>
    </row>
    <row r="20" spans="1:8" ht="19.5" customHeight="1">
      <c r="A20" s="296">
        <f>A5*A6</f>
        <v>240000</v>
      </c>
      <c r="B20" s="297">
        <f>B5*B6</f>
        <v>448000</v>
      </c>
      <c r="C20" s="298">
        <f>C5*C6</f>
        <v>680000</v>
      </c>
      <c r="D20" s="283" t="s">
        <v>124</v>
      </c>
      <c r="E20" s="176"/>
      <c r="F20" s="176"/>
      <c r="G20" s="176"/>
      <c r="H20" s="176"/>
    </row>
    <row r="21" spans="1:8" ht="19.5" customHeight="1">
      <c r="A21" s="296">
        <f>A7*(A10/A8)^A9</f>
        <v>118217.70112539698</v>
      </c>
      <c r="B21" s="297">
        <f>B7*(B10/B8)^B9</f>
        <v>147772.12640674622</v>
      </c>
      <c r="C21" s="298">
        <f>C7*(C10/C8)^C9</f>
        <v>177326.55168809547</v>
      </c>
      <c r="D21" s="283" t="s">
        <v>125</v>
      </c>
      <c r="E21" s="176"/>
      <c r="F21" s="176"/>
      <c r="G21" s="176"/>
      <c r="H21" s="176"/>
    </row>
    <row r="22" spans="1:8" ht="19.5" customHeight="1">
      <c r="A22" s="296">
        <f>(A20+A21)/A6</f>
        <v>298.51475093783085</v>
      </c>
      <c r="B22" s="297">
        <f>(B20+B21)/B6</f>
        <v>372.3575790042164</v>
      </c>
      <c r="C22" s="298">
        <f>(C20+C21)/C6</f>
        <v>428.66327584404775</v>
      </c>
      <c r="D22" s="283" t="s">
        <v>126</v>
      </c>
      <c r="E22" s="176"/>
      <c r="F22" s="176"/>
      <c r="G22" s="176"/>
      <c r="H22" s="176"/>
    </row>
    <row r="23" spans="1:8" ht="19.5" customHeight="1" thickBot="1">
      <c r="A23" s="299">
        <f>(PMT(A19,A16,-A20)+PMT(A19,A17,-A21)+(A20+A21)*A18)*A11/(1000*24*365*A12)/((1-A13*A14^2*A6/1000)*(1-A15))</f>
        <v>0.003230851497919364</v>
      </c>
      <c r="B23" s="300">
        <f>(PMT(B19,B16,-B20)+PMT(B19,B17,-B21)+(B20+B21)*B18)*B11/(1000*24*365*B12)/((1-B13*B14^2*B6/1000)*(1-B15))</f>
        <v>0.012270534050367533</v>
      </c>
      <c r="C23" s="301">
        <f>(PMT(C19,C16,-C20)+PMT(C19,C17,-C21)+(C20+C21)*C18)*C11/(1000*24*365*C12)/((1-C13*C14^2*C6/1000)*(1-C15))</f>
        <v>0.03230152817286577</v>
      </c>
      <c r="D23" s="283" t="s">
        <v>127</v>
      </c>
      <c r="E23" s="176"/>
      <c r="F23" s="302"/>
      <c r="G23" s="176"/>
      <c r="H23" s="176"/>
    </row>
    <row r="24" spans="1:8" ht="19.5" customHeight="1">
      <c r="A24" s="303">
        <f>A20/(A20+A21)</f>
        <v>0.6699836419194317</v>
      </c>
      <c r="B24" s="303">
        <f>B20/(B20+B21)</f>
        <v>0.7519653574630998</v>
      </c>
      <c r="C24" s="303">
        <f>C20/(C20+C21)</f>
        <v>0.7931633502555876</v>
      </c>
      <c r="D24" s="304" t="s">
        <v>128</v>
      </c>
      <c r="E24" s="176"/>
      <c r="F24" s="176"/>
      <c r="G24" s="176"/>
      <c r="H24" s="176"/>
    </row>
    <row r="25" spans="1:8" ht="19.5" customHeight="1">
      <c r="A25" s="176"/>
      <c r="B25" s="176"/>
      <c r="C25" s="176"/>
      <c r="D25" s="176"/>
      <c r="H25" s="176"/>
    </row>
    <row r="26" spans="1:8" ht="19.5" customHeight="1">
      <c r="A26" s="176"/>
      <c r="B26" s="176"/>
      <c r="C26" s="176"/>
      <c r="D26" s="176"/>
      <c r="E26" s="176"/>
      <c r="F26" s="176"/>
      <c r="G26" s="176"/>
      <c r="H26" s="176"/>
    </row>
    <row r="27" spans="1:10" ht="19.5" customHeight="1">
      <c r="A27" s="305" t="s">
        <v>129</v>
      </c>
      <c r="B27" s="176"/>
      <c r="C27" s="176"/>
      <c r="D27" s="176"/>
      <c r="E27" s="176"/>
      <c r="F27" s="176"/>
      <c r="G27" s="176"/>
      <c r="H27" s="176"/>
      <c r="I27" s="176"/>
      <c r="J27" s="176"/>
    </row>
    <row r="28" spans="1:10" ht="12.75" customHeight="1">
      <c r="A28" s="305"/>
      <c r="B28" s="176"/>
      <c r="C28" s="176"/>
      <c r="D28" s="176"/>
      <c r="E28" s="176"/>
      <c r="F28" s="176"/>
      <c r="G28" s="176"/>
      <c r="H28" s="176"/>
      <c r="I28" s="176"/>
      <c r="J28" s="176"/>
    </row>
    <row r="29" spans="1:10" ht="33" customHeight="1">
      <c r="A29" s="197" t="s">
        <v>130</v>
      </c>
      <c r="B29" s="198" t="s">
        <v>131</v>
      </c>
      <c r="C29" s="198" t="s">
        <v>132</v>
      </c>
      <c r="D29" s="306" t="s">
        <v>133</v>
      </c>
      <c r="E29" s="307" t="s">
        <v>134</v>
      </c>
      <c r="F29" s="176"/>
      <c r="G29" s="176"/>
      <c r="H29" s="176"/>
      <c r="I29" s="176"/>
      <c r="J29" s="176"/>
    </row>
    <row r="30" spans="1:10" ht="19.5" customHeight="1">
      <c r="A30" s="308">
        <v>3000</v>
      </c>
      <c r="B30" s="309">
        <v>4000</v>
      </c>
      <c r="C30" s="309">
        <v>3000</v>
      </c>
      <c r="D30" s="310">
        <v>3000</v>
      </c>
      <c r="E30" s="177" t="s">
        <v>135</v>
      </c>
      <c r="H30" s="176"/>
      <c r="I30" s="176"/>
      <c r="J30" s="176"/>
    </row>
    <row r="31" spans="1:10" ht="19.5" customHeight="1">
      <c r="A31" s="311">
        <f>1.6/1.609</f>
        <v>0.9944064636420137</v>
      </c>
      <c r="B31" s="312">
        <f>1.6/1.609</f>
        <v>0.9944064636420137</v>
      </c>
      <c r="C31" s="313">
        <f>1.8/1.609</f>
        <v>1.1187072715972655</v>
      </c>
      <c r="D31" s="314">
        <f>1.95/1.609</f>
        <v>1.2119328775637042</v>
      </c>
      <c r="E31" s="177" t="s">
        <v>136</v>
      </c>
      <c r="H31" s="176"/>
      <c r="I31" s="176"/>
      <c r="J31" s="176"/>
    </row>
    <row r="32" spans="1:10" ht="19.5" customHeight="1">
      <c r="A32" s="315">
        <v>420</v>
      </c>
      <c r="B32" s="316">
        <v>680</v>
      </c>
      <c r="C32" s="316">
        <v>465</v>
      </c>
      <c r="D32" s="317">
        <v>510</v>
      </c>
      <c r="E32" s="177" t="s">
        <v>137</v>
      </c>
      <c r="H32" s="176"/>
      <c r="I32" s="176"/>
      <c r="J32" s="176"/>
    </row>
    <row r="33" spans="1:10" s="321" customFormat="1" ht="19.5" customHeight="1">
      <c r="A33" s="318">
        <f>750*1.609</f>
        <v>1206.75</v>
      </c>
      <c r="B33" s="319">
        <f>1500*1.609</f>
        <v>2413.5</v>
      </c>
      <c r="C33" s="319">
        <f>750*1.609</f>
        <v>1206.75</v>
      </c>
      <c r="D33" s="320">
        <f>750*1.609</f>
        <v>1206.75</v>
      </c>
      <c r="E33" s="321" t="s">
        <v>138</v>
      </c>
      <c r="H33" s="176"/>
      <c r="I33" s="176"/>
      <c r="J33" s="176"/>
    </row>
    <row r="34" spans="1:10" s="321" customFormat="1" ht="19.5" customHeight="1">
      <c r="A34" s="318">
        <v>193</v>
      </c>
      <c r="B34" s="319">
        <v>134</v>
      </c>
      <c r="C34" s="319">
        <v>148</v>
      </c>
      <c r="D34" s="320">
        <v>103</v>
      </c>
      <c r="E34" s="321" t="s">
        <v>139</v>
      </c>
      <c r="H34" s="176"/>
      <c r="I34" s="176"/>
      <c r="J34" s="176"/>
    </row>
    <row r="35" spans="1:10" s="321" customFormat="1" ht="19.5" customHeight="1">
      <c r="A35" s="322"/>
      <c r="B35" s="323"/>
      <c r="C35" s="323"/>
      <c r="D35" s="324"/>
      <c r="E35" s="307" t="s">
        <v>242</v>
      </c>
      <c r="H35" s="176"/>
      <c r="I35" s="176"/>
      <c r="J35" s="176"/>
    </row>
    <row r="36" spans="1:10" s="321" customFormat="1" ht="19.5" customHeight="1">
      <c r="A36" s="325">
        <f>A31*1000000/A30</f>
        <v>331.46882121400455</v>
      </c>
      <c r="B36" s="326">
        <f>B31*1000000/B30</f>
        <v>248.60161591050343</v>
      </c>
      <c r="C36" s="326">
        <f>C31*1000000/C30</f>
        <v>372.90242386575517</v>
      </c>
      <c r="D36" s="327">
        <f>D31*1000000/D30</f>
        <v>403.9776258545681</v>
      </c>
      <c r="E36" s="321" t="s">
        <v>140</v>
      </c>
      <c r="H36" s="176"/>
      <c r="I36" s="176"/>
      <c r="J36" s="176"/>
    </row>
    <row r="37" spans="1:10" s="321" customFormat="1" ht="19.5" customHeight="1">
      <c r="A37" s="328">
        <f>A32/A30*1000000</f>
        <v>140000</v>
      </c>
      <c r="B37" s="329">
        <f>B32/B30*1000000</f>
        <v>170000</v>
      </c>
      <c r="C37" s="329">
        <f>C32/C30*1000000</f>
        <v>155000</v>
      </c>
      <c r="D37" s="330">
        <f>D32/D30*1000000</f>
        <v>170000</v>
      </c>
      <c r="E37" s="321" t="s">
        <v>141</v>
      </c>
      <c r="H37" s="176"/>
      <c r="I37" s="176"/>
      <c r="J37" s="176"/>
    </row>
    <row r="38" spans="1:10" s="321" customFormat="1" ht="19.5" customHeight="1">
      <c r="A38" s="331">
        <f>A31*A33</f>
        <v>1200</v>
      </c>
      <c r="B38" s="332">
        <f>B31*B33</f>
        <v>2400</v>
      </c>
      <c r="C38" s="332">
        <f>C31*C33</f>
        <v>1350</v>
      </c>
      <c r="D38" s="333">
        <f>D31*D33</f>
        <v>1462.5</v>
      </c>
      <c r="E38" s="321" t="s">
        <v>142</v>
      </c>
      <c r="H38" s="176"/>
      <c r="I38" s="176"/>
      <c r="J38" s="176"/>
    </row>
    <row r="39" spans="1:10" s="321" customFormat="1" ht="19.5" customHeight="1">
      <c r="A39" s="331">
        <f>A38+A32</f>
        <v>1620</v>
      </c>
      <c r="B39" s="332">
        <f>B38+B32</f>
        <v>3080</v>
      </c>
      <c r="C39" s="332">
        <f>C38+C32</f>
        <v>1815</v>
      </c>
      <c r="D39" s="333">
        <f>D38+D32</f>
        <v>1972.5</v>
      </c>
      <c r="E39" s="321" t="s">
        <v>143</v>
      </c>
      <c r="H39" s="176"/>
      <c r="I39" s="176"/>
      <c r="J39" s="176"/>
    </row>
    <row r="40" spans="1:10" s="321" customFormat="1" ht="19.5" customHeight="1">
      <c r="A40" s="328">
        <f>A39*1000000/A30/A33</f>
        <v>447.48290863890617</v>
      </c>
      <c r="B40" s="329">
        <f>B39*1000000/B30/B33</f>
        <v>319.0387404184794</v>
      </c>
      <c r="C40" s="329">
        <f>C39*1000000/C30/C33</f>
        <v>501.3465920861819</v>
      </c>
      <c r="D40" s="330">
        <f>D39*1000000/D30/D33</f>
        <v>544.85187487052</v>
      </c>
      <c r="E40" s="321" t="s">
        <v>144</v>
      </c>
      <c r="H40" s="176"/>
      <c r="I40" s="176"/>
      <c r="J40" s="176"/>
    </row>
    <row r="41" spans="1:10" s="321" customFormat="1" ht="19.5" customHeight="1">
      <c r="A41" s="334">
        <f>A38/A39</f>
        <v>0.7407407407407407</v>
      </c>
      <c r="B41" s="335">
        <f>B38/B39</f>
        <v>0.7792207792207793</v>
      </c>
      <c r="C41" s="335">
        <f>C38/C39</f>
        <v>0.743801652892562</v>
      </c>
      <c r="D41" s="336">
        <f>D38/D39</f>
        <v>0.7414448669201521</v>
      </c>
      <c r="E41" s="321" t="s">
        <v>145</v>
      </c>
      <c r="H41" s="176"/>
      <c r="I41" s="176"/>
      <c r="J41" s="176"/>
    </row>
    <row r="42" spans="1:6" ht="19.5" customHeight="1">
      <c r="A42" s="337">
        <f>A34/A30/(A33/1000)</f>
        <v>0.053311235411919074</v>
      </c>
      <c r="B42" s="338">
        <f>B34/B30/(B33/1000)</f>
        <v>0.013880256888336441</v>
      </c>
      <c r="C42" s="338">
        <f>C34/C30/(C33/1000)</f>
        <v>0.0408811546163939</v>
      </c>
      <c r="D42" s="339">
        <f>D34/D30/(D33/1000)</f>
        <v>0.028451073820868724</v>
      </c>
      <c r="E42" s="321" t="s">
        <v>146</v>
      </c>
      <c r="F42" s="321"/>
    </row>
    <row r="43" spans="1:6" ht="19.5" customHeight="1">
      <c r="A43" s="176"/>
      <c r="B43" s="176"/>
      <c r="C43" s="176"/>
      <c r="D43" s="176"/>
      <c r="E43" s="176"/>
      <c r="F43" s="176"/>
    </row>
    <row r="44" spans="1:4" ht="19.5" customHeight="1">
      <c r="A44" s="176"/>
      <c r="B44" s="176"/>
      <c r="C44" s="176"/>
      <c r="D44" s="176"/>
    </row>
    <row r="45" spans="1:4" ht="19.5" customHeight="1">
      <c r="A45" s="176"/>
      <c r="B45" s="176"/>
      <c r="C45" s="176"/>
      <c r="D45" s="176"/>
    </row>
    <row r="46" spans="1:4" ht="19.5" customHeight="1">
      <c r="A46" s="340" t="s">
        <v>147</v>
      </c>
      <c r="B46" s="176"/>
      <c r="C46" s="176"/>
      <c r="D46" s="176"/>
    </row>
    <row r="47" spans="1:6" ht="31.5" customHeight="1">
      <c r="A47" s="341" t="s">
        <v>148</v>
      </c>
      <c r="B47" s="342" t="s">
        <v>149</v>
      </c>
      <c r="C47" s="342" t="s">
        <v>150</v>
      </c>
      <c r="D47" s="343" t="s">
        <v>151</v>
      </c>
      <c r="E47" s="344" t="s">
        <v>152</v>
      </c>
      <c r="F47" s="345" t="s">
        <v>153</v>
      </c>
    </row>
    <row r="48" spans="1:6" ht="19.5" customHeight="1">
      <c r="A48" s="346">
        <v>2.9</v>
      </c>
      <c r="B48" s="347">
        <v>1.5</v>
      </c>
      <c r="C48" s="348">
        <v>180</v>
      </c>
      <c r="D48" s="349">
        <f aca="true" t="shared" si="0" ref="D48:D55">B48*1000000000/(A48*1000)/(C48*1.609)</f>
        <v>1785.931148782352</v>
      </c>
      <c r="E48" s="350" t="s">
        <v>154</v>
      </c>
      <c r="F48" s="351" t="s">
        <v>155</v>
      </c>
    </row>
    <row r="49" spans="1:6" ht="19.5" customHeight="1">
      <c r="A49" s="346">
        <v>10.9</v>
      </c>
      <c r="B49" s="347">
        <v>1.36</v>
      </c>
      <c r="C49" s="348">
        <v>300</v>
      </c>
      <c r="D49" s="349">
        <f t="shared" si="0"/>
        <v>258.4848605797283</v>
      </c>
      <c r="E49" s="350" t="s">
        <v>156</v>
      </c>
      <c r="F49" s="351" t="s">
        <v>157</v>
      </c>
    </row>
    <row r="50" spans="1:6" ht="19.5" customHeight="1">
      <c r="A50" s="346">
        <v>26.1</v>
      </c>
      <c r="B50" s="347">
        <v>6.36</v>
      </c>
      <c r="C50" s="348">
        <v>1470</v>
      </c>
      <c r="D50" s="349">
        <f t="shared" si="0"/>
        <v>103.02514382091393</v>
      </c>
      <c r="E50" s="350" t="s">
        <v>156</v>
      </c>
      <c r="F50" s="351" t="s">
        <v>158</v>
      </c>
    </row>
    <row r="51" spans="1:6" ht="19.5" customHeight="1">
      <c r="A51" s="346">
        <v>4.3</v>
      </c>
      <c r="B51" s="347">
        <v>1.8</v>
      </c>
      <c r="C51" s="348">
        <v>249</v>
      </c>
      <c r="D51" s="349">
        <f t="shared" si="0"/>
        <v>1044.8372761719113</v>
      </c>
      <c r="E51" s="350" t="s">
        <v>154</v>
      </c>
      <c r="F51" s="351" t="s">
        <v>159</v>
      </c>
    </row>
    <row r="52" spans="1:6" ht="19.5" customHeight="1">
      <c r="A52" s="346">
        <v>8</v>
      </c>
      <c r="B52" s="347">
        <v>1.8</v>
      </c>
      <c r="C52" s="348">
        <v>1500</v>
      </c>
      <c r="D52" s="349">
        <f t="shared" si="0"/>
        <v>93.22560596643878</v>
      </c>
      <c r="E52" s="350" t="s">
        <v>156</v>
      </c>
      <c r="F52" s="351" t="s">
        <v>160</v>
      </c>
    </row>
    <row r="53" spans="1:6" ht="19.5" customHeight="1">
      <c r="A53" s="346">
        <v>8</v>
      </c>
      <c r="B53" s="347">
        <v>1.91</v>
      </c>
      <c r="C53" s="348">
        <v>1926</v>
      </c>
      <c r="D53" s="349">
        <f t="shared" si="0"/>
        <v>77.04262175315769</v>
      </c>
      <c r="E53" s="350" t="s">
        <v>156</v>
      </c>
      <c r="F53" s="351" t="s">
        <v>161</v>
      </c>
    </row>
    <row r="54" spans="1:6" ht="19.5" customHeight="1">
      <c r="A54" s="346">
        <v>403.1</v>
      </c>
      <c r="B54" s="347">
        <v>78.58</v>
      </c>
      <c r="C54" s="348">
        <v>14937</v>
      </c>
      <c r="D54" s="349">
        <f t="shared" si="0"/>
        <v>8.111100849254191</v>
      </c>
      <c r="E54" s="350" t="s">
        <v>162</v>
      </c>
      <c r="F54" s="351" t="s">
        <v>163</v>
      </c>
    </row>
    <row r="55" spans="1:6" ht="19.5" customHeight="1">
      <c r="A55" s="346">
        <v>18.5</v>
      </c>
      <c r="B55" s="347">
        <v>3.4</v>
      </c>
      <c r="C55" s="348">
        <v>1200</v>
      </c>
      <c r="D55" s="349">
        <f t="shared" si="0"/>
        <v>95.18530338915672</v>
      </c>
      <c r="E55" s="350" t="s">
        <v>164</v>
      </c>
      <c r="F55" s="351" t="s">
        <v>165</v>
      </c>
    </row>
    <row r="56" spans="1:6" ht="19.5" customHeight="1">
      <c r="A56" s="346">
        <v>23</v>
      </c>
      <c r="B56" s="347">
        <v>7.89</v>
      </c>
      <c r="C56" s="348">
        <v>4073</v>
      </c>
      <c r="D56" s="349">
        <f aca="true" t="shared" si="1" ref="D56:D72">B56*1000000000/(A56*1000)/(C56*1.609)</f>
        <v>52.34542292119557</v>
      </c>
      <c r="E56" s="350" t="s">
        <v>166</v>
      </c>
      <c r="F56" s="351" t="s">
        <v>167</v>
      </c>
    </row>
    <row r="57" spans="1:6" ht="19.5" customHeight="1">
      <c r="A57" s="346">
        <v>16</v>
      </c>
      <c r="B57" s="347">
        <v>31</v>
      </c>
      <c r="C57" s="348">
        <v>5725</v>
      </c>
      <c r="D57" s="349">
        <f t="shared" si="1"/>
        <v>210.33433660550236</v>
      </c>
      <c r="E57" s="350" t="s">
        <v>164</v>
      </c>
      <c r="F57" s="351" t="s">
        <v>168</v>
      </c>
    </row>
    <row r="58" spans="1:6" ht="19.5" customHeight="1">
      <c r="A58" s="346">
        <v>6.3</v>
      </c>
      <c r="B58" s="347">
        <v>1.41</v>
      </c>
      <c r="C58" s="348">
        <v>1885</v>
      </c>
      <c r="D58" s="349">
        <f t="shared" si="1"/>
        <v>73.79231999364444</v>
      </c>
      <c r="E58" s="350" t="s">
        <v>169</v>
      </c>
      <c r="F58" s="351" t="s">
        <v>170</v>
      </c>
    </row>
    <row r="59" spans="1:6" ht="19.5" customHeight="1">
      <c r="A59" s="346">
        <v>6.3</v>
      </c>
      <c r="B59" s="347">
        <v>1.51</v>
      </c>
      <c r="C59" s="348">
        <v>2007</v>
      </c>
      <c r="D59" s="349">
        <f t="shared" si="1"/>
        <v>74.22205614176971</v>
      </c>
      <c r="E59" s="350" t="s">
        <v>169</v>
      </c>
      <c r="F59" s="351" t="s">
        <v>171</v>
      </c>
    </row>
    <row r="60" spans="1:6" ht="19.5" customHeight="1">
      <c r="A60" s="346">
        <v>3.1</v>
      </c>
      <c r="B60" s="347">
        <v>0.46</v>
      </c>
      <c r="C60" s="348">
        <v>834</v>
      </c>
      <c r="D60" s="349">
        <f t="shared" si="1"/>
        <v>110.57935263289198</v>
      </c>
      <c r="E60" s="350" t="s">
        <v>169</v>
      </c>
      <c r="F60" s="351" t="s">
        <v>172</v>
      </c>
    </row>
    <row r="61" spans="1:6" ht="19.5" customHeight="1">
      <c r="A61" s="346">
        <v>48.3</v>
      </c>
      <c r="B61" s="347">
        <v>0.66</v>
      </c>
      <c r="C61" s="348">
        <v>1053</v>
      </c>
      <c r="D61" s="349">
        <f t="shared" si="1"/>
        <v>8.065148894361386</v>
      </c>
      <c r="E61" s="350" t="s">
        <v>173</v>
      </c>
      <c r="F61" s="351" t="s">
        <v>174</v>
      </c>
    </row>
    <row r="62" spans="1:6" ht="19.5" customHeight="1">
      <c r="A62" s="346">
        <v>48.3</v>
      </c>
      <c r="B62" s="347">
        <v>1.89</v>
      </c>
      <c r="C62" s="348">
        <v>2420</v>
      </c>
      <c r="D62" s="349">
        <f t="shared" si="1"/>
        <v>10.049472436195343</v>
      </c>
      <c r="E62" s="350" t="s">
        <v>173</v>
      </c>
      <c r="F62" s="351" t="s">
        <v>175</v>
      </c>
    </row>
    <row r="63" spans="1:6" ht="19.5" customHeight="1">
      <c r="A63" s="346">
        <v>5.2</v>
      </c>
      <c r="B63" s="347">
        <v>2.95</v>
      </c>
      <c r="C63" s="348">
        <v>1638</v>
      </c>
      <c r="D63" s="349">
        <f t="shared" si="1"/>
        <v>215.25276102892394</v>
      </c>
      <c r="E63" s="350" t="s">
        <v>176</v>
      </c>
      <c r="F63" s="351" t="s">
        <v>177</v>
      </c>
    </row>
    <row r="64" spans="1:6" ht="19.5" customHeight="1">
      <c r="A64" s="346">
        <v>5.2</v>
      </c>
      <c r="B64" s="347">
        <v>3.78</v>
      </c>
      <c r="C64" s="348">
        <v>1831</v>
      </c>
      <c r="D64" s="349">
        <f t="shared" si="1"/>
        <v>246.74256084886957</v>
      </c>
      <c r="E64" s="350" t="s">
        <v>169</v>
      </c>
      <c r="F64" s="351" t="s">
        <v>178</v>
      </c>
    </row>
    <row r="65" spans="1:6" ht="19.5" customHeight="1">
      <c r="A65" s="346">
        <v>11.6</v>
      </c>
      <c r="B65" s="347">
        <v>4.93</v>
      </c>
      <c r="C65" s="348">
        <v>2376</v>
      </c>
      <c r="D65" s="349">
        <f t="shared" si="1"/>
        <v>111.16970408455803</v>
      </c>
      <c r="E65" s="350" t="s">
        <v>169</v>
      </c>
      <c r="F65" s="351" t="s">
        <v>179</v>
      </c>
    </row>
    <row r="66" spans="1:6" ht="19.5" customHeight="1">
      <c r="A66" s="346">
        <v>18</v>
      </c>
      <c r="B66" s="347">
        <v>6.38</v>
      </c>
      <c r="C66" s="348">
        <v>3036</v>
      </c>
      <c r="D66" s="349">
        <f t="shared" si="1"/>
        <v>72.55884522347624</v>
      </c>
      <c r="E66" s="350" t="s">
        <v>180</v>
      </c>
      <c r="F66" s="351" t="s">
        <v>181</v>
      </c>
    </row>
    <row r="67" spans="1:6" ht="19.5" customHeight="1">
      <c r="A67" s="346">
        <v>17.5</v>
      </c>
      <c r="B67" s="347">
        <v>5.75</v>
      </c>
      <c r="C67" s="348">
        <v>2489</v>
      </c>
      <c r="D67" s="349">
        <f t="shared" si="1"/>
        <v>82.04438337171524</v>
      </c>
      <c r="E67" s="350" t="s">
        <v>180</v>
      </c>
      <c r="F67" s="351" t="s">
        <v>182</v>
      </c>
    </row>
    <row r="68" spans="1:6" ht="19.5" customHeight="1">
      <c r="A68" s="346">
        <v>4.5</v>
      </c>
      <c r="B68" s="347">
        <v>1.13</v>
      </c>
      <c r="C68" s="348">
        <v>625</v>
      </c>
      <c r="D68" s="349">
        <f t="shared" si="1"/>
        <v>249.70651198121678</v>
      </c>
      <c r="E68" s="350" t="s">
        <v>169</v>
      </c>
      <c r="F68" s="351" t="s">
        <v>183</v>
      </c>
    </row>
    <row r="69" spans="1:6" ht="19.5" customHeight="1">
      <c r="A69" s="346">
        <v>3</v>
      </c>
      <c r="B69" s="347">
        <v>0.32</v>
      </c>
      <c r="C69" s="348">
        <v>230</v>
      </c>
      <c r="D69" s="349">
        <f t="shared" si="1"/>
        <v>288.2337575773953</v>
      </c>
      <c r="E69" s="350" t="s">
        <v>169</v>
      </c>
      <c r="F69" s="351" t="s">
        <v>184</v>
      </c>
    </row>
    <row r="70" spans="1:6" ht="19.5" customHeight="1">
      <c r="A70" s="346">
        <v>3.8</v>
      </c>
      <c r="B70" s="347">
        <v>0.96</v>
      </c>
      <c r="C70" s="348">
        <v>862</v>
      </c>
      <c r="D70" s="349">
        <f t="shared" si="1"/>
        <v>182.14796623067778</v>
      </c>
      <c r="E70" s="350" t="s">
        <v>169</v>
      </c>
      <c r="F70" s="351" t="s">
        <v>185</v>
      </c>
    </row>
    <row r="71" spans="1:6" ht="19.5" customHeight="1">
      <c r="A71" s="346">
        <v>3.8</v>
      </c>
      <c r="B71" s="347">
        <v>0.86</v>
      </c>
      <c r="C71" s="348">
        <v>650</v>
      </c>
      <c r="D71" s="349">
        <f t="shared" si="1"/>
        <v>216.39411911238153</v>
      </c>
      <c r="E71" s="350" t="s">
        <v>169</v>
      </c>
      <c r="F71" s="351" t="s">
        <v>186</v>
      </c>
    </row>
    <row r="72" spans="1:6" ht="19.5" customHeight="1">
      <c r="A72" s="352">
        <v>4.6</v>
      </c>
      <c r="B72" s="353">
        <v>1.52</v>
      </c>
      <c r="C72" s="354">
        <v>770</v>
      </c>
      <c r="D72" s="355">
        <f t="shared" si="1"/>
        <v>266.7098081479145</v>
      </c>
      <c r="E72" s="356" t="s">
        <v>169</v>
      </c>
      <c r="F72" s="357" t="s">
        <v>187</v>
      </c>
    </row>
    <row r="75" ht="19.5" customHeight="1">
      <c r="A75" s="241" t="s">
        <v>90</v>
      </c>
    </row>
    <row r="76" ht="9.75" customHeight="1">
      <c r="A76" s="241"/>
    </row>
    <row r="77" ht="19.5" customHeight="1">
      <c r="A77" s="241" t="s">
        <v>91</v>
      </c>
    </row>
    <row r="78" spans="2:3" ht="19.5" customHeight="1">
      <c r="B78" s="242" t="s">
        <v>92</v>
      </c>
      <c r="C78" s="242" t="s">
        <v>93</v>
      </c>
    </row>
    <row r="79" spans="1:3" ht="19.5" customHeight="1">
      <c r="A79" s="177" t="s">
        <v>94</v>
      </c>
      <c r="B79" s="358">
        <v>0.0187</v>
      </c>
      <c r="C79" s="358">
        <v>0.0177</v>
      </c>
    </row>
    <row r="80" spans="1:3" ht="19.5" customHeight="1">
      <c r="A80" s="177" t="s">
        <v>95</v>
      </c>
      <c r="B80" s="358">
        <v>0.0211</v>
      </c>
      <c r="C80" s="358">
        <v>0.0204</v>
      </c>
    </row>
    <row r="81" spans="2:3" ht="19.5" customHeight="1">
      <c r="B81" s="176"/>
      <c r="C81" s="176"/>
    </row>
    <row r="82" spans="1:3" ht="19.5" customHeight="1">
      <c r="A82" s="340" t="s">
        <v>96</v>
      </c>
      <c r="C82" s="176"/>
    </row>
    <row r="83" spans="2:3" ht="19.5" customHeight="1">
      <c r="B83" s="242" t="s">
        <v>92</v>
      </c>
      <c r="C83" s="242" t="s">
        <v>93</v>
      </c>
    </row>
    <row r="84" spans="1:3" ht="19.5" customHeight="1">
      <c r="A84" s="177" t="s">
        <v>94</v>
      </c>
      <c r="B84" s="359">
        <v>0.87</v>
      </c>
      <c r="C84" s="359">
        <v>0.8</v>
      </c>
    </row>
    <row r="85" spans="1:3" ht="19.5" customHeight="1">
      <c r="A85" s="177" t="s">
        <v>95</v>
      </c>
      <c r="B85" s="359">
        <v>0.77</v>
      </c>
      <c r="C85" s="359">
        <v>0.75</v>
      </c>
    </row>
    <row r="86" spans="2:3" ht="19.5" customHeight="1">
      <c r="B86" s="176"/>
      <c r="C86" s="176"/>
    </row>
    <row r="87" spans="1:3" ht="19.5" customHeight="1">
      <c r="A87" s="340" t="s">
        <v>97</v>
      </c>
      <c r="C87" s="176"/>
    </row>
    <row r="88" spans="2:3" ht="19.5" customHeight="1">
      <c r="B88" s="242" t="s">
        <v>92</v>
      </c>
      <c r="C88" s="242" t="s">
        <v>93</v>
      </c>
    </row>
    <row r="89" spans="1:3" ht="19.5" customHeight="1">
      <c r="A89" s="177" t="s">
        <v>94</v>
      </c>
      <c r="B89" s="360">
        <f>B84*B79</f>
        <v>0.016269000000000002</v>
      </c>
      <c r="C89" s="360">
        <f>C84*C79</f>
        <v>0.01416</v>
      </c>
    </row>
    <row r="90" spans="1:3" ht="19.5" customHeight="1">
      <c r="A90" s="177" t="s">
        <v>95</v>
      </c>
      <c r="B90" s="360">
        <f>B85*B80</f>
        <v>0.016247</v>
      </c>
      <c r="C90" s="360">
        <f>C85*C80</f>
        <v>0.015300000000000001</v>
      </c>
    </row>
  </sheetData>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11.421875" defaultRowHeight="19.5" customHeight="1"/>
  <cols>
    <col min="1" max="1" width="12.8515625" style="177" customWidth="1"/>
    <col min="2" max="2" width="14.140625" style="177" customWidth="1"/>
    <col min="3" max="3" width="16.28125" style="177" bestFit="1" customWidth="1"/>
    <col min="4" max="4" width="14.8515625" style="177" bestFit="1" customWidth="1"/>
    <col min="5" max="8" width="13.421875" style="177" bestFit="1" customWidth="1"/>
    <col min="9" max="16384" width="12.421875" style="177" customWidth="1"/>
  </cols>
  <sheetData>
    <row r="1" spans="1:7" ht="19.5" customHeight="1">
      <c r="A1" s="361"/>
      <c r="B1" s="361"/>
      <c r="C1" s="361"/>
      <c r="D1" s="361"/>
      <c r="E1" s="277" t="s">
        <v>98</v>
      </c>
      <c r="F1" s="361"/>
      <c r="G1" s="361"/>
    </row>
    <row r="2" spans="1:7" ht="19.5" customHeight="1" thickBot="1">
      <c r="A2" s="361"/>
      <c r="B2" s="362" t="s">
        <v>134</v>
      </c>
      <c r="C2" s="361"/>
      <c r="D2" s="361"/>
      <c r="E2" s="361"/>
      <c r="F2" s="361"/>
      <c r="G2" s="361"/>
    </row>
    <row r="3" spans="1:7" ht="19.5" customHeight="1">
      <c r="A3" s="363">
        <v>10</v>
      </c>
      <c r="B3" s="361" t="s">
        <v>99</v>
      </c>
      <c r="C3" s="361"/>
      <c r="D3" s="361"/>
      <c r="E3" s="361"/>
      <c r="F3" s="361"/>
      <c r="G3" s="361"/>
    </row>
    <row r="4" spans="1:7" ht="19.5" customHeight="1">
      <c r="A4" s="364">
        <v>400</v>
      </c>
      <c r="B4" s="361" t="s">
        <v>100</v>
      </c>
      <c r="C4" s="361"/>
      <c r="D4" s="361"/>
      <c r="E4" s="361"/>
      <c r="F4" s="361"/>
      <c r="G4" s="361"/>
    </row>
    <row r="5" spans="1:7" ht="19.5" customHeight="1">
      <c r="A5" s="364">
        <v>2.1</v>
      </c>
      <c r="B5" s="361" t="s">
        <v>101</v>
      </c>
      <c r="C5" s="361"/>
      <c r="D5" s="361"/>
      <c r="E5" s="361"/>
      <c r="F5" s="361"/>
      <c r="G5" s="361"/>
    </row>
    <row r="6" spans="1:7" ht="19.5" customHeight="1">
      <c r="A6" s="365">
        <v>4.5</v>
      </c>
      <c r="B6" s="361" t="s">
        <v>102</v>
      </c>
      <c r="C6" s="361"/>
      <c r="D6" s="361"/>
      <c r="E6" s="361"/>
      <c r="F6" s="361"/>
      <c r="G6" s="361"/>
    </row>
    <row r="7" spans="1:7" ht="19.5" customHeight="1">
      <c r="A7" s="366">
        <v>5000</v>
      </c>
      <c r="B7" s="361" t="s">
        <v>103</v>
      </c>
      <c r="C7" s="361"/>
      <c r="D7" s="361"/>
      <c r="E7" s="361"/>
      <c r="F7" s="361"/>
      <c r="G7" s="361"/>
    </row>
    <row r="8" spans="1:7" ht="19.5" customHeight="1">
      <c r="A8" s="364">
        <v>3500</v>
      </c>
      <c r="B8" s="361" t="str">
        <f>"Battery cycle life, to "&amp;A9*100&amp;"% DoD (cycles)"</f>
        <v>Battery cycle life, to 80% DoD (cycles)</v>
      </c>
      <c r="C8" s="361"/>
      <c r="D8" s="361"/>
      <c r="E8" s="361"/>
      <c r="F8" s="361"/>
      <c r="G8" s="361"/>
    </row>
    <row r="9" spans="1:7" ht="19.5" customHeight="1">
      <c r="A9" s="367">
        <v>0.8</v>
      </c>
      <c r="B9" s="361" t="s">
        <v>104</v>
      </c>
      <c r="C9" s="361"/>
      <c r="D9" s="361"/>
      <c r="E9" s="361"/>
      <c r="F9" s="361"/>
      <c r="G9" s="361"/>
    </row>
    <row r="10" spans="1:7" ht="19.5" customHeight="1">
      <c r="A10" s="364">
        <v>30</v>
      </c>
      <c r="B10" s="361" t="s">
        <v>105</v>
      </c>
      <c r="C10" s="361"/>
      <c r="D10" s="361"/>
      <c r="E10" s="361"/>
      <c r="F10" s="361"/>
      <c r="G10" s="361"/>
    </row>
    <row r="11" spans="1:7" ht="19.5" customHeight="1">
      <c r="A11" s="364">
        <v>250</v>
      </c>
      <c r="B11" s="361" t="s">
        <v>106</v>
      </c>
      <c r="C11" s="361"/>
      <c r="D11" s="361"/>
      <c r="E11" s="361"/>
      <c r="F11" s="361"/>
      <c r="G11" s="361"/>
    </row>
    <row r="12" spans="1:7" ht="19.5" customHeight="1">
      <c r="A12" s="364">
        <v>50</v>
      </c>
      <c r="B12" s="361" t="s">
        <v>107</v>
      </c>
      <c r="C12" s="361"/>
      <c r="D12" s="361"/>
      <c r="E12" s="361"/>
      <c r="F12" s="361"/>
      <c r="G12" s="361"/>
    </row>
    <row r="13" spans="1:7" ht="19.5" customHeight="1">
      <c r="A13" s="367">
        <v>0.1</v>
      </c>
      <c r="B13" s="361" t="s">
        <v>108</v>
      </c>
      <c r="C13" s="361"/>
      <c r="D13" s="361"/>
      <c r="E13" s="361"/>
      <c r="F13" s="361"/>
      <c r="G13" s="361"/>
    </row>
    <row r="14" spans="1:7" ht="19.5" customHeight="1">
      <c r="A14" s="368">
        <v>0.8</v>
      </c>
      <c r="B14" s="361" t="str">
        <f>"V2G cycling by utility: average fraction of a standard cycle to "&amp;A9*100&amp;"% DoD, per day (standard cycles/day)"</f>
        <v>V2G cycling by utility: average fraction of a standard cycle to 80% DoD, per day (standard cycles/day)</v>
      </c>
      <c r="C14" s="361"/>
      <c r="D14" s="361"/>
      <c r="E14" s="361"/>
      <c r="F14" s="361"/>
      <c r="G14" s="361"/>
    </row>
    <row r="15" spans="1:7" ht="19.5" customHeight="1">
      <c r="A15" s="369">
        <v>0.03</v>
      </c>
      <c r="B15" s="361" t="s">
        <v>109</v>
      </c>
      <c r="C15" s="361"/>
      <c r="D15" s="361"/>
      <c r="E15" s="361"/>
      <c r="F15" s="361"/>
      <c r="G15" s="361"/>
    </row>
    <row r="16" spans="1:7" ht="19.5" customHeight="1">
      <c r="A16" s="369">
        <v>0.9</v>
      </c>
      <c r="B16" s="361" t="s">
        <v>110</v>
      </c>
      <c r="C16" s="361"/>
      <c r="D16" s="361"/>
      <c r="E16" s="361"/>
      <c r="F16" s="361"/>
      <c r="G16" s="361"/>
    </row>
    <row r="17" spans="1:7" ht="19.5" customHeight="1">
      <c r="A17" s="369">
        <v>0.944</v>
      </c>
      <c r="B17" s="361" t="s">
        <v>111</v>
      </c>
      <c r="C17" s="361"/>
      <c r="D17" s="361"/>
      <c r="E17" s="361"/>
      <c r="F17" s="361"/>
      <c r="G17" s="361"/>
    </row>
    <row r="18" spans="1:7" ht="19.5" customHeight="1">
      <c r="A18" s="369">
        <v>0.96</v>
      </c>
      <c r="B18" s="361" t="s">
        <v>112</v>
      </c>
      <c r="C18" s="361"/>
      <c r="D18" s="361"/>
      <c r="E18" s="361"/>
      <c r="F18" s="361"/>
      <c r="G18" s="361"/>
    </row>
    <row r="19" spans="1:7" ht="19.5" customHeight="1">
      <c r="A19" s="369">
        <v>0.995</v>
      </c>
      <c r="B19" s="361" t="s">
        <v>113</v>
      </c>
      <c r="C19" s="361"/>
      <c r="D19" s="361"/>
      <c r="E19" s="361"/>
      <c r="F19" s="361"/>
      <c r="G19" s="361"/>
    </row>
    <row r="20" spans="1:7" ht="19.5" customHeight="1">
      <c r="A20" s="370">
        <v>0.11</v>
      </c>
      <c r="B20" s="361" t="s">
        <v>114</v>
      </c>
      <c r="C20" s="361"/>
      <c r="D20" s="361"/>
      <c r="E20" s="361"/>
      <c r="F20" s="361"/>
      <c r="G20" s="361"/>
    </row>
    <row r="21" spans="1:7" ht="19.5" customHeight="1">
      <c r="A21" s="364">
        <v>150</v>
      </c>
      <c r="B21" s="361" t="s">
        <v>3</v>
      </c>
      <c r="C21" s="361"/>
      <c r="D21" s="361"/>
      <c r="E21" s="361"/>
      <c r="F21" s="361"/>
      <c r="G21" s="361"/>
    </row>
    <row r="22" spans="1:7" ht="19.5" customHeight="1" thickBot="1">
      <c r="A22" s="371">
        <v>20</v>
      </c>
      <c r="B22" s="361" t="s">
        <v>115</v>
      </c>
      <c r="C22" s="361"/>
      <c r="D22" s="361"/>
      <c r="E22" s="361"/>
      <c r="F22" s="361"/>
      <c r="G22" s="361"/>
    </row>
    <row r="23" spans="3:9" ht="19.5" customHeight="1">
      <c r="C23" s="372"/>
      <c r="D23" s="372"/>
      <c r="E23" s="372"/>
      <c r="F23" s="372"/>
      <c r="G23" s="372"/>
      <c r="H23" s="372"/>
      <c r="I23" s="372"/>
    </row>
    <row r="24" spans="1:9" ht="19.5" customHeight="1">
      <c r="A24" s="361"/>
      <c r="B24" s="361"/>
      <c r="C24" s="372"/>
      <c r="D24" s="372"/>
      <c r="E24" s="372"/>
      <c r="F24" s="372"/>
      <c r="G24" s="372"/>
      <c r="H24" s="372"/>
      <c r="I24" s="372"/>
    </row>
    <row r="25" spans="1:9" ht="19.5" customHeight="1">
      <c r="A25" s="362" t="s">
        <v>67</v>
      </c>
      <c r="C25" s="372"/>
      <c r="D25" s="372"/>
      <c r="E25" s="372"/>
      <c r="F25" s="372"/>
      <c r="G25" s="372"/>
      <c r="H25" s="372"/>
      <c r="I25" s="372"/>
    </row>
    <row r="26" spans="1:9" ht="34.5" customHeight="1" thickBot="1">
      <c r="A26" s="373" t="s">
        <v>68</v>
      </c>
      <c r="B26" s="373" t="s">
        <v>69</v>
      </c>
      <c r="C26" s="372"/>
      <c r="D26" s="372"/>
      <c r="E26" s="372"/>
      <c r="F26" s="372"/>
      <c r="G26" s="372"/>
      <c r="H26" s="372"/>
      <c r="I26" s="372"/>
    </row>
    <row r="27" spans="1:8" ht="19.5" customHeight="1">
      <c r="A27" s="374">
        <f>$A4*$A3*$A5</f>
        <v>8400</v>
      </c>
      <c r="B27" s="375">
        <f>$A4*$A3*$A5</f>
        <v>8400</v>
      </c>
      <c r="C27" s="361" t="s">
        <v>70</v>
      </c>
      <c r="D27" s="361"/>
      <c r="E27" s="361"/>
      <c r="F27" s="361"/>
      <c r="G27" s="372"/>
      <c r="H27" s="361"/>
    </row>
    <row r="28" spans="1:7" ht="19.5" customHeight="1">
      <c r="A28" s="376">
        <f>MIN($A3*$A9*$A8*A6/A7,A10)</f>
        <v>25.2</v>
      </c>
      <c r="B28" s="377">
        <f>MIN(A8/(A14+A7/365/A6/(A3*A9))/365,A10)</f>
        <v>8.122743682310471</v>
      </c>
      <c r="C28" s="361" t="str">
        <f>"Lifetime of battery in vehicle use (based on calendar life or cycling to "&amp;A9*100&amp;"% DoD) (years)"</f>
        <v>Lifetime of battery in vehicle use (based on calendar life or cycling to 80% DoD) (years)</v>
      </c>
      <c r="D28" s="361"/>
      <c r="E28" s="361"/>
      <c r="F28" s="361"/>
      <c r="G28" s="361"/>
    </row>
    <row r="29" spans="1:7" ht="19.5" customHeight="1">
      <c r="A29" s="378">
        <f>A27+$A11+$A12-A27*$A13</f>
        <v>7860</v>
      </c>
      <c r="B29" s="379">
        <f>B27+$A11+$A12-B27*$A13</f>
        <v>7860</v>
      </c>
      <c r="C29" s="361" t="s">
        <v>71</v>
      </c>
      <c r="D29" s="361"/>
      <c r="E29" s="361"/>
      <c r="F29" s="361"/>
      <c r="G29" s="361"/>
    </row>
    <row r="30" spans="1:7" ht="19.5" customHeight="1">
      <c r="A30" s="380">
        <f>(1+$A15)^A28-1</f>
        <v>1.106192503041958</v>
      </c>
      <c r="B30" s="381">
        <f>(1+$A15)^B28-1</f>
        <v>0.27137446882033056</v>
      </c>
      <c r="C30" s="361" t="s">
        <v>72</v>
      </c>
      <c r="D30" s="361"/>
      <c r="E30" s="361"/>
      <c r="F30" s="361"/>
      <c r="G30" s="361"/>
    </row>
    <row r="31" spans="1:7" ht="19.5" customHeight="1">
      <c r="A31" s="376">
        <v>0</v>
      </c>
      <c r="B31" s="382">
        <f>A14*A9*A3*365/A16/A17</f>
        <v>2749.529190207157</v>
      </c>
      <c r="C31" s="361" t="str">
        <f>"Electricity diverted to V2G cycling, measured at input to battery charger, per year (based on cycling normalized to "&amp;A9*100&amp;"% DoD) (kWh-sent-to-battery-charger/year)"</f>
        <v>Electricity diverted to V2G cycling, measured at input to battery charger, per year (based on cycling normalized to 80% DoD) (kWh-sent-to-battery-charger/year)</v>
      </c>
      <c r="D31" s="361"/>
      <c r="E31" s="361"/>
      <c r="F31" s="361"/>
      <c r="G31" s="361"/>
    </row>
    <row r="32" spans="1:7" ht="19.5" customHeight="1">
      <c r="A32" s="376"/>
      <c r="B32" s="382"/>
      <c r="C32" s="383" t="s">
        <v>73</v>
      </c>
      <c r="D32" s="361"/>
      <c r="E32" s="361"/>
      <c r="F32" s="361"/>
      <c r="G32" s="361"/>
    </row>
    <row r="33" spans="1:7" ht="19.5" customHeight="1">
      <c r="A33" s="376"/>
      <c r="B33" s="384">
        <f>(B29*A15/B30-A29*A15/A30)/B31</f>
        <v>0.2384940733863935</v>
      </c>
      <c r="C33" s="361" t="s">
        <v>74</v>
      </c>
      <c r="D33" s="361"/>
      <c r="E33" s="361"/>
      <c r="F33" s="361"/>
      <c r="G33" s="361"/>
    </row>
    <row r="34" spans="1:7" ht="19.5" customHeight="1">
      <c r="A34" s="376"/>
      <c r="B34" s="385">
        <f>PMT(A15,A22,-A21)/B31</f>
        <v>0.0036669391164998832</v>
      </c>
      <c r="C34" s="361" t="s">
        <v>75</v>
      </c>
      <c r="D34" s="361"/>
      <c r="E34" s="361"/>
      <c r="F34" s="361"/>
      <c r="G34" s="361"/>
    </row>
    <row r="35" spans="1:7" ht="19.5" customHeight="1">
      <c r="A35" s="376"/>
      <c r="B35" s="384">
        <f>(1-A16*A17*A18*A19)*A20</f>
        <v>0.020730828799999997</v>
      </c>
      <c r="C35" s="361" t="s">
        <v>76</v>
      </c>
      <c r="D35" s="361"/>
      <c r="E35" s="361"/>
      <c r="F35" s="361"/>
      <c r="G35" s="361"/>
    </row>
    <row r="36" spans="1:8" ht="19.5" customHeight="1" thickBot="1">
      <c r="A36" s="386"/>
      <c r="B36" s="387">
        <f>SUM(B33:B35)</f>
        <v>0.2628918413028934</v>
      </c>
      <c r="C36" s="361" t="s">
        <v>77</v>
      </c>
      <c r="D36" s="361"/>
      <c r="E36" s="361"/>
      <c r="F36" s="361"/>
      <c r="G36" s="361"/>
      <c r="H36" s="361"/>
    </row>
    <row r="37" ht="18.75" customHeight="1"/>
    <row r="38" ht="18.75" customHeight="1"/>
    <row r="39" ht="18.75" customHeight="1"/>
    <row r="40" ht="18.75" customHeight="1"/>
    <row r="41" ht="18.75" customHeight="1">
      <c r="A41" s="241" t="s">
        <v>78</v>
      </c>
    </row>
    <row r="42" ht="18.75" customHeight="1">
      <c r="A42" s="241"/>
    </row>
    <row r="43" ht="18.75" customHeight="1">
      <c r="A43" s="388" t="s">
        <v>79</v>
      </c>
    </row>
    <row r="44" spans="1:2" ht="18.75" customHeight="1">
      <c r="A44" s="389">
        <v>0.4</v>
      </c>
      <c r="B44" s="361" t="s">
        <v>80</v>
      </c>
    </row>
    <row r="45" spans="1:2" ht="18.75" customHeight="1">
      <c r="A45" s="390">
        <v>0.8</v>
      </c>
      <c r="B45" s="361" t="s">
        <v>81</v>
      </c>
    </row>
    <row r="46" spans="1:2" ht="18.75" customHeight="1">
      <c r="A46" s="391">
        <v>150</v>
      </c>
      <c r="B46" s="361" t="s">
        <v>82</v>
      </c>
    </row>
    <row r="47" spans="1:2" ht="18.75" customHeight="1">
      <c r="A47" s="392">
        <v>14</v>
      </c>
      <c r="B47" s="361" t="s">
        <v>83</v>
      </c>
    </row>
    <row r="48" ht="18.75" customHeight="1"/>
    <row r="49" ht="18.75" customHeight="1">
      <c r="A49" s="388" t="s">
        <v>84</v>
      </c>
    </row>
    <row r="50" spans="1:2" ht="18.75" customHeight="1">
      <c r="A50" s="393" t="s">
        <v>85</v>
      </c>
      <c r="B50" s="393" t="s">
        <v>86</v>
      </c>
    </row>
    <row r="51" spans="1:3" ht="18.75" customHeight="1">
      <c r="A51" s="394">
        <f>1-MOD($A47,A28)/A28</f>
        <v>0.4444444444444444</v>
      </c>
      <c r="B51" s="395">
        <f>1-MOD($A47,B28)/B28</f>
        <v>0.2764444444444448</v>
      </c>
      <c r="C51" s="361" t="s">
        <v>87</v>
      </c>
    </row>
    <row r="52" spans="1:3" ht="18.75" customHeight="1">
      <c r="A52" s="396">
        <f>$A44+(1-$A44)*A51^$A45</f>
        <v>0.7136210726732463</v>
      </c>
      <c r="B52" s="397">
        <f>$A44+(1-$A44)*B51^$A45</f>
        <v>0.6145050611616073</v>
      </c>
      <c r="C52" s="361" t="s">
        <v>88</v>
      </c>
    </row>
    <row r="53" spans="1:3" ht="18.75" customHeight="1">
      <c r="A53" s="398">
        <f>(A27*A51*A52-$A46)/(1+$A15)^$A47+(A27*$A13-$A46)/(1+$A15)^A28</f>
        <v>1989.7780762924767</v>
      </c>
      <c r="B53" s="399">
        <f>(B27*B51*B52-$A46)/(1+$A15)^$A47+(B27*$A13-$A46)/(1+$A15)^B28</f>
        <v>1386.9424924533284</v>
      </c>
      <c r="C53" s="361" t="s">
        <v>89</v>
      </c>
    </row>
    <row r="54" spans="1:3" ht="18.75" customHeight="1">
      <c r="A54" s="400"/>
      <c r="B54" s="401">
        <f>(PMT(A15,A47,B53-A53))/B31</f>
        <v>0.01940944196579227</v>
      </c>
      <c r="C54" s="361" t="s">
        <v>14</v>
      </c>
    </row>
    <row r="55" spans="1:3" ht="18.75" customHeight="1">
      <c r="A55" s="402"/>
      <c r="B55" s="403"/>
      <c r="C55" s="361"/>
    </row>
    <row r="57" spans="1:3" ht="19.5" customHeight="1">
      <c r="A57" s="388" t="s">
        <v>15</v>
      </c>
      <c r="B57" s="404"/>
      <c r="C57" s="405"/>
    </row>
    <row r="58" spans="1:3" ht="19.5" customHeight="1">
      <c r="A58" s="307" t="s">
        <v>16</v>
      </c>
      <c r="B58" s="307" t="s">
        <v>17</v>
      </c>
      <c r="C58" s="405"/>
    </row>
    <row r="59" spans="1:2" ht="19.5" customHeight="1">
      <c r="A59" s="307" t="s">
        <v>18</v>
      </c>
      <c r="B59" s="307" t="s">
        <v>19</v>
      </c>
    </row>
    <row r="60" spans="1:8" ht="19.5" customHeight="1">
      <c r="A60" s="406">
        <v>0</v>
      </c>
      <c r="B60" s="407">
        <f aca="true" t="shared" si="0" ref="B60:B74">A$44+(1-A$44)*A60^A$45</f>
        <v>0.4</v>
      </c>
      <c r="H60" s="404"/>
    </row>
    <row r="61" spans="1:2" ht="19.5" customHeight="1">
      <c r="A61" s="408">
        <v>0.01</v>
      </c>
      <c r="B61" s="409">
        <f t="shared" si="0"/>
        <v>0.4150713185890575</v>
      </c>
    </row>
    <row r="62" spans="1:2" ht="19.5" customHeight="1">
      <c r="A62" s="408">
        <v>0.05</v>
      </c>
      <c r="B62" s="409">
        <f t="shared" si="0"/>
        <v>0.4546169260907824</v>
      </c>
    </row>
    <row r="63" spans="1:2" ht="19.5" customHeight="1">
      <c r="A63" s="408">
        <v>0.1</v>
      </c>
      <c r="B63" s="409">
        <f t="shared" si="0"/>
        <v>0.49509359154766686</v>
      </c>
    </row>
    <row r="64" spans="1:2" ht="19.5" customHeight="1">
      <c r="A64" s="408">
        <v>0.2</v>
      </c>
      <c r="B64" s="409">
        <f t="shared" si="0"/>
        <v>0.5655675593753458</v>
      </c>
    </row>
    <row r="65" spans="1:2" ht="19.5" customHeight="1">
      <c r="A65" s="408">
        <v>0.3</v>
      </c>
      <c r="B65" s="409">
        <f t="shared" si="0"/>
        <v>0.6290067345770906</v>
      </c>
    </row>
    <row r="66" spans="1:2" ht="19.5" customHeight="1">
      <c r="A66" s="408">
        <v>0.4</v>
      </c>
      <c r="B66" s="409">
        <f t="shared" si="0"/>
        <v>0.6882698641555436</v>
      </c>
    </row>
    <row r="67" spans="1:2" ht="19.5" customHeight="1">
      <c r="A67" s="408">
        <v>0.5</v>
      </c>
      <c r="B67" s="409">
        <f t="shared" si="0"/>
        <v>0.7446095064991105</v>
      </c>
    </row>
    <row r="68" spans="1:2" ht="19.5" customHeight="1">
      <c r="A68" s="408">
        <v>0.6</v>
      </c>
      <c r="B68" s="409">
        <f t="shared" si="0"/>
        <v>0.7987238835693844</v>
      </c>
    </row>
    <row r="69" spans="1:2" ht="19.5" customHeight="1">
      <c r="A69" s="408">
        <v>0.7</v>
      </c>
      <c r="B69" s="409">
        <f t="shared" si="0"/>
        <v>0.8510551879900272</v>
      </c>
    </row>
    <row r="70" spans="1:2" ht="19.5" customHeight="1">
      <c r="A70" s="408">
        <v>0.8</v>
      </c>
      <c r="B70" s="409">
        <f t="shared" si="0"/>
        <v>0.9019069852438112</v>
      </c>
    </row>
    <row r="71" spans="1:2" ht="19.5" customHeight="1">
      <c r="A71" s="408">
        <v>0.9</v>
      </c>
      <c r="B71" s="409">
        <f t="shared" si="0"/>
        <v>0.951499671304073</v>
      </c>
    </row>
    <row r="72" spans="1:2" ht="19.5" customHeight="1">
      <c r="A72" s="408">
        <v>0.95</v>
      </c>
      <c r="B72" s="409">
        <f t="shared" si="0"/>
        <v>0.9758775318112236</v>
      </c>
    </row>
    <row r="73" spans="1:2" ht="19.5" customHeight="1">
      <c r="A73" s="408">
        <v>0.98</v>
      </c>
      <c r="B73" s="409">
        <f t="shared" si="0"/>
        <v>0.9903806446884658</v>
      </c>
    </row>
    <row r="74" spans="1:2" ht="19.5" customHeight="1">
      <c r="A74" s="410">
        <v>1</v>
      </c>
      <c r="B74" s="411">
        <f t="shared" si="0"/>
        <v>1</v>
      </c>
    </row>
  </sheetData>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H78"/>
  <sheetViews>
    <sheetView workbookViewId="0" topLeftCell="A1">
      <selection activeCell="O46" sqref="O46"/>
    </sheetView>
  </sheetViews>
  <sheetFormatPr defaultColWidth="11.421875" defaultRowHeight="19.5" customHeight="1"/>
  <cols>
    <col min="1" max="1" width="14.00390625" style="177" customWidth="1"/>
    <col min="2" max="2" width="12.7109375" style="177" customWidth="1"/>
    <col min="3" max="16384" width="12.421875" style="177" customWidth="1"/>
  </cols>
  <sheetData>
    <row r="1" spans="1:7" ht="19.5" customHeight="1">
      <c r="A1" s="361"/>
      <c r="B1" s="361"/>
      <c r="C1" s="361"/>
      <c r="D1" s="361"/>
      <c r="E1" s="277" t="s">
        <v>20</v>
      </c>
      <c r="F1" s="361"/>
      <c r="G1" s="361"/>
    </row>
    <row r="2" spans="1:7" ht="19.5" customHeight="1" thickBot="1">
      <c r="A2" s="361"/>
      <c r="B2" s="362" t="s">
        <v>134</v>
      </c>
      <c r="C2" s="361"/>
      <c r="D2" s="361"/>
      <c r="E2" s="361"/>
      <c r="F2" s="361"/>
      <c r="G2" s="361"/>
    </row>
    <row r="3" spans="1:7" ht="19.5" customHeight="1">
      <c r="A3" s="412">
        <f>'Battery V2G cost 1'!A3</f>
        <v>10</v>
      </c>
      <c r="B3" s="413" t="str">
        <f>'Battery V2G cost 1'!B3</f>
        <v>Discharge capacity of the battery to 100% DoD (kWh)</v>
      </c>
      <c r="C3" s="413"/>
      <c r="D3" s="413"/>
      <c r="E3" s="361"/>
      <c r="F3" s="361"/>
      <c r="G3" s="361"/>
    </row>
    <row r="4" spans="1:7" ht="19.5" customHeight="1">
      <c r="A4" s="414">
        <f>'Battery V2G cost 1'!A4</f>
        <v>400</v>
      </c>
      <c r="B4" s="413" t="str">
        <f>'Battery V2G cost 1'!B4</f>
        <v>Manufacturing cost of replacement battery ($/kWh)</v>
      </c>
      <c r="C4" s="413"/>
      <c r="D4" s="413"/>
      <c r="E4" s="361"/>
      <c r="F4" s="361"/>
      <c r="G4" s="361"/>
    </row>
    <row r="5" spans="1:7" ht="19.5" customHeight="1">
      <c r="A5" s="414">
        <f>'Battery V2G cost 1'!A5</f>
        <v>2.1</v>
      </c>
      <c r="B5" s="413" t="str">
        <f>'Battery V2G cost 1'!B5</f>
        <v>Ratio of retail cost to manufacturing cost</v>
      </c>
      <c r="C5" s="413"/>
      <c r="D5" s="413"/>
      <c r="E5" s="361"/>
      <c r="F5" s="361"/>
      <c r="G5" s="361"/>
    </row>
    <row r="6" spans="1:7" ht="19.5" customHeight="1">
      <c r="A6" s="414">
        <f>'Battery V2G cost 1'!A6</f>
        <v>4.5</v>
      </c>
      <c r="B6" s="413" t="str">
        <f>'Battery V2G cost 1'!B6</f>
        <v>Efficiency of vehicle on battery (mi/KWh-battery-discharge)</v>
      </c>
      <c r="C6" s="413"/>
      <c r="D6" s="413"/>
      <c r="E6" s="361"/>
      <c r="F6" s="361"/>
      <c r="G6" s="361"/>
    </row>
    <row r="7" spans="1:7" ht="19.5" customHeight="1">
      <c r="A7" s="415">
        <f>'Battery V2G cost 1'!A7</f>
        <v>5000</v>
      </c>
      <c r="B7" s="413" t="str">
        <f>'Battery V2G cost 1'!B7</f>
        <v>Annual distance on battery (miles/year)</v>
      </c>
      <c r="C7" s="413"/>
      <c r="D7" s="413"/>
      <c r="E7" s="361"/>
      <c r="F7" s="361"/>
      <c r="G7" s="361"/>
    </row>
    <row r="8" spans="1:7" ht="19.5" customHeight="1">
      <c r="A8" s="416">
        <v>-6E-05</v>
      </c>
      <c r="B8" s="413" t="s">
        <v>21</v>
      </c>
      <c r="C8" s="413"/>
      <c r="D8" s="413"/>
      <c r="E8" s="361"/>
      <c r="F8" s="361"/>
      <c r="G8" s="361"/>
    </row>
    <row r="9" spans="1:7" ht="19.5" customHeight="1">
      <c r="A9" s="416">
        <v>-2.7E-05</v>
      </c>
      <c r="B9" s="413" t="s">
        <v>22</v>
      </c>
      <c r="C9" s="413"/>
      <c r="D9" s="413"/>
      <c r="E9" s="361"/>
      <c r="F9" s="361"/>
      <c r="G9" s="361"/>
    </row>
    <row r="10" spans="1:7" ht="19.5" customHeight="1">
      <c r="A10" s="367">
        <v>0.2</v>
      </c>
      <c r="B10" s="413" t="s">
        <v>23</v>
      </c>
      <c r="C10" s="413"/>
      <c r="D10" s="413"/>
      <c r="E10" s="361"/>
      <c r="F10" s="361"/>
      <c r="G10" s="361"/>
    </row>
    <row r="11" spans="1:7" ht="19.5" customHeight="1">
      <c r="A11" s="417">
        <f>'Battery V2G cost 1'!A9</f>
        <v>0.8</v>
      </c>
      <c r="B11" s="413" t="str">
        <f>'Battery V2G cost 1'!B9</f>
        <v>Depth-of-discharge at which battery cycle life is determined and to which V2G cycling is normalized (%)</v>
      </c>
      <c r="C11" s="413"/>
      <c r="D11" s="413"/>
      <c r="E11" s="361"/>
      <c r="F11" s="361"/>
      <c r="G11" s="361"/>
    </row>
    <row r="12" spans="1:7" ht="19.5" customHeight="1">
      <c r="A12" s="414">
        <f>'Battery V2G cost 1'!A10</f>
        <v>30</v>
      </c>
      <c r="B12" s="413" t="str">
        <f>'Battery V2G cost 1'!B10</f>
        <v>Maximum calendar life of battery, regardless of cycling (same end-of-life capacity degradation criteria as is used in regards to cycle life, for automotive use) (years)</v>
      </c>
      <c r="C12" s="413"/>
      <c r="D12" s="413"/>
      <c r="E12" s="361"/>
      <c r="F12" s="361"/>
      <c r="G12" s="361"/>
    </row>
    <row r="13" spans="1:7" ht="19.5" customHeight="1">
      <c r="A13" s="414">
        <f>'Battery V2G cost 1'!A11</f>
        <v>250</v>
      </c>
      <c r="B13" s="413" t="str">
        <f>'Battery V2G cost 1'!B11</f>
        <v>Service cost of installing new battery and removing old battery and  deploying it in non-automotive applications ($)</v>
      </c>
      <c r="C13" s="413"/>
      <c r="D13" s="413"/>
      <c r="E13" s="361"/>
      <c r="F13" s="361"/>
      <c r="G13" s="361"/>
    </row>
    <row r="14" spans="1:7" ht="19.5" customHeight="1">
      <c r="A14" s="414">
        <f>'Battery V2G cost 1'!A12</f>
        <v>50</v>
      </c>
      <c r="B14" s="413" t="str">
        <f>'Battery V2G cost 1'!B12</f>
        <v>Hedonic (personal) cost of having to replace battery ($)</v>
      </c>
      <c r="C14" s="413"/>
      <c r="D14" s="413"/>
      <c r="E14" s="361"/>
      <c r="F14" s="361"/>
      <c r="G14" s="361"/>
    </row>
    <row r="15" spans="1:7" ht="19.5" customHeight="1">
      <c r="A15" s="417">
        <f>'Battery V2G cost 1'!A13</f>
        <v>0.1</v>
      </c>
      <c r="B15" s="413" t="str">
        <f>'Battery V2G cost 1'!B13</f>
        <v>Value of old battery in non-automotive applications after end of useful life as a motor-vehicle battery (percent of original total retail cost, excluding service cost)</v>
      </c>
      <c r="C15" s="413"/>
      <c r="D15" s="413"/>
      <c r="E15" s="361"/>
      <c r="F15" s="361"/>
      <c r="G15" s="361"/>
    </row>
    <row r="16" spans="1:7" ht="19.5" customHeight="1">
      <c r="A16" s="418">
        <f>'Battery V2G cost 1'!A14</f>
        <v>0.8</v>
      </c>
      <c r="B16" s="413" t="str">
        <f>'Battery V2G cost 1'!B14</f>
        <v>V2G cycling by utility: average fraction of a standard cycle to 80% DoD, per day (standard cycles/day)</v>
      </c>
      <c r="C16" s="413"/>
      <c r="D16" s="413"/>
      <c r="E16" s="361"/>
      <c r="F16" s="361"/>
      <c r="G16" s="361"/>
    </row>
    <row r="17" spans="1:7" ht="19.5" customHeight="1">
      <c r="A17" s="419">
        <f>'Battery V2G cost 1'!A15</f>
        <v>0.03</v>
      </c>
      <c r="B17" s="413" t="str">
        <f>'Battery V2G cost 1'!B15</f>
        <v>Discount rate with respect to battery costs and V2G electronics and infrastructure (%/year)</v>
      </c>
      <c r="C17" s="413"/>
      <c r="D17" s="413"/>
      <c r="E17" s="361"/>
      <c r="F17" s="361"/>
      <c r="G17" s="361"/>
    </row>
    <row r="18" spans="1:7" ht="19.5" customHeight="1">
      <c r="A18" s="419">
        <f>'Battery V2G cost 1'!A16</f>
        <v>0.9</v>
      </c>
      <c r="B18" s="413" t="str">
        <f>'Battery V2G cost 1'!B16</f>
        <v>Efficiency of battery charger (accounts for losses from grid to battery terminal)</v>
      </c>
      <c r="C18" s="413"/>
      <c r="D18" s="413"/>
      <c r="E18" s="361"/>
      <c r="F18" s="361"/>
      <c r="G18" s="361"/>
    </row>
    <row r="19" spans="1:7" ht="19.5" customHeight="1">
      <c r="A19" s="419">
        <f>'Battery V2G cost 1'!A17</f>
        <v>0.944</v>
      </c>
      <c r="B19" s="413" t="str">
        <f>'Battery V2G cost 1'!B17</f>
        <v>Efficiency of battery charge/discharge cycle (accounts for charging and discharging losses inside battery)</v>
      </c>
      <c r="C19" s="413"/>
      <c r="D19" s="413"/>
      <c r="E19" s="361"/>
      <c r="F19" s="361"/>
      <c r="G19" s="361"/>
    </row>
    <row r="20" spans="1:7" ht="19.5" customHeight="1">
      <c r="A20" s="419">
        <f>'Battery V2G cost 1'!A18</f>
        <v>0.96</v>
      </c>
      <c r="B20" s="413" t="str">
        <f>'Battery V2G cost 1'!B18</f>
        <v>Efficiency of inverter (accounts for losses from battery terminal to grid connection)</v>
      </c>
      <c r="C20" s="413"/>
      <c r="D20" s="413"/>
      <c r="E20" s="361"/>
      <c r="F20" s="361"/>
      <c r="G20" s="361"/>
    </row>
    <row r="21" spans="1:7" ht="19.5" customHeight="1">
      <c r="A21" s="419">
        <f>'Battery V2G cost 1'!A19</f>
        <v>0.995</v>
      </c>
      <c r="B21" s="413" t="str">
        <f>'Battery V2G cost 1'!B19</f>
        <v>Efficiency of electricity distribution to final end user (accounts for losses from grid connection at V2G house to final end user)</v>
      </c>
      <c r="C21" s="413"/>
      <c r="D21" s="413"/>
      <c r="E21" s="361"/>
      <c r="F21" s="361"/>
      <c r="G21" s="361"/>
    </row>
    <row r="22" spans="1:7" ht="19.5" customHeight="1">
      <c r="A22" s="420">
        <f>'Battery V2G cost 1'!A20</f>
        <v>0.11</v>
      </c>
      <c r="B22" s="413" t="str">
        <f>'Battery V2G cost 1'!B20</f>
        <v>Cost of electricity delivered to residential sector to make up for electricity lost by V2G cycling ($/kWh)</v>
      </c>
      <c r="C22" s="413"/>
      <c r="D22" s="413"/>
      <c r="E22" s="361"/>
      <c r="F22" s="361"/>
      <c r="G22" s="361"/>
    </row>
    <row r="23" spans="1:7" ht="19.5" customHeight="1">
      <c r="A23" s="414">
        <f>'Battery V2G cost 1'!A21</f>
        <v>150</v>
      </c>
      <c r="B23" s="413" t="str">
        <f>'Battery V2G cost 1'!B21</f>
        <v>Utility cost of extra electronics and infrastructure needed to manage V2G system, per vehicle ($)</v>
      </c>
      <c r="C23" s="413"/>
      <c r="D23" s="413"/>
      <c r="E23" s="361"/>
      <c r="F23" s="361"/>
      <c r="G23" s="361"/>
    </row>
    <row r="24" spans="1:7" ht="19.5" customHeight="1" thickBot="1">
      <c r="A24" s="421">
        <f>'Battery V2G cost 1'!A22</f>
        <v>20</v>
      </c>
      <c r="B24" s="413" t="str">
        <f>'Battery V2G cost 1'!B22</f>
        <v>Lifetime of extra electronics and infrastructure (years)</v>
      </c>
      <c r="C24" s="413"/>
      <c r="D24" s="413"/>
      <c r="E24" s="361"/>
      <c r="F24" s="361"/>
      <c r="G24" s="361"/>
    </row>
    <row r="25" spans="1:7" ht="19.5" customHeight="1">
      <c r="A25" s="422"/>
      <c r="B25" s="422"/>
      <c r="C25" s="422"/>
      <c r="D25" s="413"/>
      <c r="E25" s="361"/>
      <c r="F25" s="361"/>
      <c r="G25" s="361"/>
    </row>
    <row r="26" spans="1:7" ht="19.5" customHeight="1">
      <c r="A26" s="361"/>
      <c r="B26" s="361"/>
      <c r="C26" s="361"/>
      <c r="D26" s="361"/>
      <c r="E26" s="361"/>
      <c r="F26" s="361"/>
      <c r="G26" s="361"/>
    </row>
    <row r="27" spans="1:7" ht="19.5" customHeight="1">
      <c r="A27" s="362" t="s">
        <v>67</v>
      </c>
      <c r="C27" s="361"/>
      <c r="D27" s="413"/>
      <c r="E27" s="423"/>
      <c r="F27" s="361"/>
      <c r="G27" s="361"/>
    </row>
    <row r="28" spans="1:8" ht="33.75" customHeight="1" thickBot="1">
      <c r="A28" s="373" t="s">
        <v>68</v>
      </c>
      <c r="B28" s="373" t="s">
        <v>69</v>
      </c>
      <c r="C28" s="424"/>
      <c r="D28" s="361"/>
      <c r="E28" s="361"/>
      <c r="F28" s="361"/>
      <c r="G28" s="361"/>
      <c r="H28" s="425"/>
    </row>
    <row r="29" spans="1:7" ht="19.5" customHeight="1">
      <c r="A29" s="374">
        <f>$A4*$A3*$A5</f>
        <v>8400</v>
      </c>
      <c r="B29" s="375">
        <f>$A4*$A3*$A5</f>
        <v>8400</v>
      </c>
      <c r="C29" s="361" t="str">
        <f>'Battery V2G cost 1'!C27</f>
        <v>Cost of replacement battery ($)</v>
      </c>
      <c r="D29" s="361"/>
      <c r="E29" s="361"/>
      <c r="F29" s="361"/>
      <c r="G29" s="361"/>
    </row>
    <row r="30" spans="1:7" ht="19.5" customHeight="1">
      <c r="A30" s="426">
        <f>$A7/365/$A6</f>
        <v>3.0441400304414</v>
      </c>
      <c r="B30" s="427">
        <f>A30+A16*A3*A11</f>
        <v>9.4441400304414</v>
      </c>
      <c r="C30" s="361" t="s">
        <v>24</v>
      </c>
      <c r="D30" s="361"/>
      <c r="E30" s="361"/>
      <c r="F30" s="361"/>
      <c r="G30" s="361"/>
    </row>
    <row r="31" spans="1:7" ht="19.5" customHeight="1">
      <c r="A31" s="428">
        <f>$A30*365/$A3*$A8</f>
        <v>-0.006666666666666667</v>
      </c>
      <c r="B31" s="429">
        <f>A31+(B30-A30)*365/$A3*$A9</f>
        <v>-0.012973866666666667</v>
      </c>
      <c r="C31" s="361" t="s">
        <v>25</v>
      </c>
      <c r="D31" s="361"/>
      <c r="E31" s="361"/>
      <c r="F31" s="361"/>
      <c r="G31" s="361"/>
    </row>
    <row r="32" spans="1:7" ht="19.5" customHeight="1">
      <c r="A32" s="376">
        <f>MIN($A10/ABS(A31),A12)</f>
        <v>30</v>
      </c>
      <c r="B32" s="430">
        <f>MIN($A10/ABS(B31),A12)</f>
        <v>15.415604702787142</v>
      </c>
      <c r="C32" s="361" t="str">
        <f>"Lifetime of battery in vehicle use -- years until discharge capacity is degraded by "&amp;A10*100&amp;"%"</f>
        <v>Lifetime of battery in vehicle use -- years until discharge capacity is degraded by 20%</v>
      </c>
      <c r="D32" s="361"/>
      <c r="E32" s="361"/>
      <c r="F32" s="361"/>
      <c r="G32" s="361"/>
    </row>
    <row r="33" spans="1:7" ht="19.5" customHeight="1">
      <c r="A33" s="431">
        <f>A29+$A13+$A14-A29*$A15</f>
        <v>7860</v>
      </c>
      <c r="B33" s="432">
        <f>B29+$A13+$A14-B29*$A15</f>
        <v>7860</v>
      </c>
      <c r="C33" s="361" t="str">
        <f>'Battery V2G cost 1'!C29</f>
        <v>Net cost of battery replacement, including new battery cost with installation, removal of old battery, value of old battery in non-automotive markets</v>
      </c>
      <c r="D33" s="361"/>
      <c r="E33" s="361"/>
      <c r="F33" s="361"/>
      <c r="G33" s="361"/>
    </row>
    <row r="34" spans="1:7" ht="19.5" customHeight="1">
      <c r="A34" s="433">
        <f>(1+$A17)^A32-1</f>
        <v>1.427262471189659</v>
      </c>
      <c r="B34" s="434">
        <f>(1+$A17)^B32-1</f>
        <v>0.5772247430272117</v>
      </c>
      <c r="C34" s="361" t="str">
        <f>'Battery V2G cost 1'!C30</f>
        <v>Discount rate for the period of time equal to the battery life (%/period)</v>
      </c>
      <c r="D34" s="361"/>
      <c r="E34" s="361"/>
      <c r="F34" s="361"/>
      <c r="G34" s="361"/>
    </row>
    <row r="35" spans="1:7" ht="19.5" customHeight="1">
      <c r="A35" s="376">
        <v>0</v>
      </c>
      <c r="B35" s="382">
        <f>A16*A11*A3*365/A18/A19</f>
        <v>2749.529190207157</v>
      </c>
      <c r="C35" s="361" t="str">
        <f>'Battery V2G cost 1'!C31</f>
        <v>Electricity diverted to V2G cycling, measured at input to battery charger, per year (based on cycling normalized to 80% DoD) (kWh-sent-to-battery-charger/year)</v>
      </c>
      <c r="D35" s="361"/>
      <c r="E35" s="361"/>
      <c r="F35" s="361"/>
      <c r="G35" s="361"/>
    </row>
    <row r="36" spans="1:7" ht="19.5" customHeight="1">
      <c r="A36" s="376"/>
      <c r="B36" s="382"/>
      <c r="C36" s="383" t="str">
        <f>'Battery V2G cost 1'!C32</f>
        <v>Components of the cost of V2G cycling, per kWh diverted to V2G cycling ($/kWh-sent-to-battery-charger)</v>
      </c>
      <c r="D36" s="361"/>
      <c r="E36" s="361"/>
      <c r="F36" s="361"/>
      <c r="G36" s="361"/>
    </row>
    <row r="37" spans="1:7" ht="19.5" customHeight="1">
      <c r="A37" s="376"/>
      <c r="B37" s="384">
        <f>(B33*A17/B34-A33*A17/A34)/B35</f>
        <v>0.08848606501493413</v>
      </c>
      <c r="C37" s="361" t="str">
        <f>'Battery V2G cost 1'!C33</f>
        <v>Annualized cost of present value of change in battery-replacement and disposal frequency, due to V2G cycling</v>
      </c>
      <c r="D37" s="361"/>
      <c r="E37" s="361"/>
      <c r="F37" s="361"/>
      <c r="G37" s="361"/>
    </row>
    <row r="38" spans="1:7" ht="19.5" customHeight="1">
      <c r="A38" s="376"/>
      <c r="B38" s="384">
        <f>PMT(A17,A24,-A23)/B35</f>
        <v>0.0036669391164998832</v>
      </c>
      <c r="C38" s="361" t="str">
        <f>'Battery V2G cost 1'!C34</f>
        <v>Annualized cost of extra electronic and infrastructure</v>
      </c>
      <c r="D38" s="361"/>
      <c r="E38" s="361"/>
      <c r="F38" s="361"/>
      <c r="G38" s="361"/>
    </row>
    <row r="39" spans="1:7" ht="19.5" customHeight="1">
      <c r="A39" s="376"/>
      <c r="B39" s="384">
        <f>(1-A18*A19*A20*A21)*A22</f>
        <v>0.020730828799999997</v>
      </c>
      <c r="C39" s="361" t="str">
        <f>'Battery V2G cost 1'!C35</f>
        <v>Cost of replacing electricity lost in charge/discharge cycling</v>
      </c>
      <c r="D39" s="361"/>
      <c r="E39" s="361"/>
      <c r="F39" s="361"/>
      <c r="G39" s="361"/>
    </row>
    <row r="40" spans="1:8" ht="19.5" customHeight="1" thickBot="1">
      <c r="A40" s="386"/>
      <c r="B40" s="387">
        <f>SUM(B37:B39)</f>
        <v>0.112883832931434</v>
      </c>
      <c r="C40" s="361" t="str">
        <f>'Battery V2G cost 1'!C36</f>
        <v>Total cost per kWh diverted to V2G cycling</v>
      </c>
      <c r="D40" s="361"/>
      <c r="E40" s="361"/>
      <c r="F40" s="361"/>
      <c r="G40" s="361"/>
      <c r="H40" s="361"/>
    </row>
    <row r="41" ht="19.5" customHeight="1">
      <c r="A41" s="435"/>
    </row>
    <row r="42" ht="19.5" customHeight="1">
      <c r="A42" s="435"/>
    </row>
    <row r="43" ht="19.5" customHeight="1">
      <c r="A43" s="435"/>
    </row>
    <row r="44" ht="19.5" customHeight="1">
      <c r="A44" s="435"/>
    </row>
    <row r="45" ht="19.5" customHeight="1">
      <c r="A45" s="436" t="str">
        <f>'Battery V2G cost 1'!A41</f>
        <v>THESE ARE INPUTS AND RESULTS FOR THE CONSUMER PERSPECTIVE, USING THE LIFE OF THE VEHICLE AS THE TIME HORIZON.</v>
      </c>
    </row>
    <row r="46" ht="19.5" customHeight="1">
      <c r="A46" s="435"/>
    </row>
    <row r="47" ht="19.5" customHeight="1">
      <c r="A47" s="437" t="str">
        <f>'Battery V2G cost 1'!A43</f>
        <v>Inputs</v>
      </c>
    </row>
    <row r="48" spans="1:2" ht="19.5" customHeight="1">
      <c r="A48" s="389">
        <f>'Battery V2G cost 1'!A44</f>
        <v>0.4</v>
      </c>
      <c r="B48" s="413" t="str">
        <f>'Battery V2G cost 1'!B44</f>
        <v>Lower bound on ratio of the actual  value of the battery at end of vehicle life to what the value would be if it were proportional to energy remaining in the battery (excluding cost of removal and re-use in other vehicles or non-automotive applications)</v>
      </c>
    </row>
    <row r="49" spans="1:2" ht="19.5" customHeight="1">
      <c r="A49" s="390">
        <f>'Battery V2G cost 1'!A45</f>
        <v>0.8</v>
      </c>
      <c r="B49" s="413" t="str">
        <f>'Battery V2G cost 1'!B45</f>
        <v>Exponent on energy remaining fraction, in ratio described above</v>
      </c>
    </row>
    <row r="50" spans="1:2" ht="19.5" customHeight="1">
      <c r="A50" s="438">
        <f>'Battery V2G cost 1'!A46</f>
        <v>150</v>
      </c>
      <c r="B50" s="413" t="str">
        <f>'Battery V2G cost 1'!B46</f>
        <v>Service cost of removing battery and re-using it in other vehicles or non-automotive applications, at end of vehicle life ($)</v>
      </c>
    </row>
    <row r="51" spans="1:2" ht="19.5" customHeight="1">
      <c r="A51" s="392">
        <f>'Battery V2G cost 1'!A47</f>
        <v>14</v>
      </c>
      <c r="B51" s="413" t="str">
        <f>'Battery V2G cost 1'!B47</f>
        <v>Life of vehicle (years)</v>
      </c>
    </row>
    <row r="52" ht="19.5" customHeight="1">
      <c r="A52" s="435"/>
    </row>
    <row r="53" ht="19.5" customHeight="1">
      <c r="A53" s="388" t="str">
        <f>'Battery V2G cost 1'!A49</f>
        <v>Unused calculations (for consumer perspective, over the life of the vehicle) </v>
      </c>
    </row>
    <row r="54" spans="1:2" ht="19.5" customHeight="1">
      <c r="A54" s="393" t="str">
        <f>'Battery V2G cost 1'!A50</f>
        <v>No V2G</v>
      </c>
      <c r="B54" s="393" t="str">
        <f>'Battery V2G cost 1'!B50</f>
        <v>V2G</v>
      </c>
    </row>
    <row r="55" spans="1:4" ht="19.5" customHeight="1">
      <c r="A55" s="394">
        <f>1-MOD($A51,A32)/A32</f>
        <v>0.5333333333333333</v>
      </c>
      <c r="B55" s="395">
        <f>1-MOD($A51,B32)/B32</f>
        <v>0.09182933333333343</v>
      </c>
      <c r="C55" s="361" t="str">
        <f>'Battery V2G cost 1'!C51</f>
        <v>Fraction of battery capacity remaining at end of vehicle life</v>
      </c>
      <c r="D55" s="361"/>
    </row>
    <row r="56" spans="1:4" ht="19.5" customHeight="1">
      <c r="A56" s="396">
        <f>$A48+(1-$A48)*A55^$A49</f>
        <v>0.7628693048425687</v>
      </c>
      <c r="B56" s="397">
        <f>$A48+(1-$A48)*B55^$A49</f>
        <v>0.4888252412107701</v>
      </c>
      <c r="C56" s="361" t="str">
        <f>'Battery V2G cost 1'!C52</f>
        <v>Ratio of the actual  automotive-use value of the battery at end of vehicle life to what the automotive-use value would be if it were proportional to energy remaining in the battery (excluding cost of removal and re-use in other vehicles)</v>
      </c>
      <c r="D56" s="361"/>
    </row>
    <row r="57" spans="1:4" ht="19.5" customHeight="1">
      <c r="A57" s="398">
        <f>(A29*A55*A56-$A50)/(1+$A17)^$A51+(A29*$A15-$A50)/(1+$A17)^A32</f>
        <v>2444.5754278218296</v>
      </c>
      <c r="B57" s="399">
        <f>(B29*B55*B56-$A50)/(1+$A17)^$A51+(B29*$A15-$A50)/(1+$A17)^B32</f>
        <v>587.59292067529</v>
      </c>
      <c r="C57" s="361" t="str">
        <f>'Battery V2G cost 1'!C53</f>
        <v>Present value of remaining automotive-use potential of battery at end of vehicle life, plus present value of battery use in non-automotive applications at end of battery automotive-use life, net of servicing/redeployment costs (negative value is cost, positive value is benefit)</v>
      </c>
      <c r="D57" s="361"/>
    </row>
    <row r="58" spans="1:3" ht="19.5" customHeight="1">
      <c r="A58" s="439"/>
      <c r="B58" s="440">
        <f>(PMT(A17,A51,B57-A57))/B35</f>
        <v>0.05978909535235625</v>
      </c>
      <c r="C58" s="361" t="str">
        <f>'Battery V2G cost 1'!C54</f>
        <v>Cost per kWh associated with unused calcs.</v>
      </c>
    </row>
    <row r="59" ht="19.5" customHeight="1">
      <c r="A59" s="435"/>
    </row>
    <row r="61" spans="1:3" ht="19.5" customHeight="1">
      <c r="A61" s="388" t="str">
        <f>'Battery V2G cost 1'!A57</f>
        <v>Test of parameters that determine ratio of actual value to fraction of capacity left (for unused calculation, for consumer perspective)</v>
      </c>
      <c r="B61" s="404"/>
      <c r="C61" s="405"/>
    </row>
    <row r="62" spans="1:3" ht="19.5" customHeight="1">
      <c r="A62" s="307" t="str">
        <f>'Battery V2G cost 1'!A58</f>
        <v>Fraction of </v>
      </c>
      <c r="B62" s="307" t="str">
        <f>'Battery V2G cost 1'!B58</f>
        <v>Ratio of actual value to </v>
      </c>
      <c r="C62" s="405"/>
    </row>
    <row r="63" spans="1:2" ht="19.5" customHeight="1">
      <c r="A63" s="307" t="str">
        <f>'Battery V2G cost 1'!A59</f>
        <v>capacity left</v>
      </c>
      <c r="B63" s="307" t="str">
        <f>'Battery V2G cost 1'!B59</f>
        <v>fraction of capacity</v>
      </c>
    </row>
    <row r="64" spans="1:8" ht="19.5" customHeight="1">
      <c r="A64" s="406">
        <v>0</v>
      </c>
      <c r="B64" s="407">
        <f aca="true" t="shared" si="0" ref="B64:B78">A$48+(1-A$48)*A64^A$49</f>
        <v>0.4</v>
      </c>
      <c r="H64" s="404"/>
    </row>
    <row r="65" spans="1:2" ht="19.5" customHeight="1">
      <c r="A65" s="408">
        <v>0.01</v>
      </c>
      <c r="B65" s="409">
        <f t="shared" si="0"/>
        <v>0.4150713185890575</v>
      </c>
    </row>
    <row r="66" spans="1:2" ht="19.5" customHeight="1">
      <c r="A66" s="408">
        <v>0.05</v>
      </c>
      <c r="B66" s="409">
        <f t="shared" si="0"/>
        <v>0.4546169260907824</v>
      </c>
    </row>
    <row r="67" spans="1:2" ht="19.5" customHeight="1">
      <c r="A67" s="408">
        <v>0.1</v>
      </c>
      <c r="B67" s="409">
        <f t="shared" si="0"/>
        <v>0.49509359154766686</v>
      </c>
    </row>
    <row r="68" spans="1:2" ht="19.5" customHeight="1">
      <c r="A68" s="408">
        <v>0.2</v>
      </c>
      <c r="B68" s="409">
        <f t="shared" si="0"/>
        <v>0.5655675593753458</v>
      </c>
    </row>
    <row r="69" spans="1:2" ht="19.5" customHeight="1">
      <c r="A69" s="408">
        <v>0.3</v>
      </c>
      <c r="B69" s="409">
        <f t="shared" si="0"/>
        <v>0.6290067345770906</v>
      </c>
    </row>
    <row r="70" spans="1:2" ht="19.5" customHeight="1">
      <c r="A70" s="408">
        <v>0.4</v>
      </c>
      <c r="B70" s="409">
        <f t="shared" si="0"/>
        <v>0.6882698641555436</v>
      </c>
    </row>
    <row r="71" spans="1:2" ht="19.5" customHeight="1">
      <c r="A71" s="408">
        <v>0.5</v>
      </c>
      <c r="B71" s="409">
        <f t="shared" si="0"/>
        <v>0.7446095064991105</v>
      </c>
    </row>
    <row r="72" spans="1:2" ht="19.5" customHeight="1">
      <c r="A72" s="408">
        <v>0.6</v>
      </c>
      <c r="B72" s="409">
        <f t="shared" si="0"/>
        <v>0.7987238835693844</v>
      </c>
    </row>
    <row r="73" spans="1:2" ht="19.5" customHeight="1">
      <c r="A73" s="408">
        <v>0.7</v>
      </c>
      <c r="B73" s="409">
        <f t="shared" si="0"/>
        <v>0.8510551879900272</v>
      </c>
    </row>
    <row r="74" spans="1:2" ht="19.5" customHeight="1">
      <c r="A74" s="408">
        <v>0.8</v>
      </c>
      <c r="B74" s="409">
        <f t="shared" si="0"/>
        <v>0.9019069852438112</v>
      </c>
    </row>
    <row r="75" spans="1:2" ht="19.5" customHeight="1">
      <c r="A75" s="408">
        <v>0.9</v>
      </c>
      <c r="B75" s="409">
        <f t="shared" si="0"/>
        <v>0.951499671304073</v>
      </c>
    </row>
    <row r="76" spans="1:2" ht="19.5" customHeight="1">
      <c r="A76" s="408">
        <v>0.95</v>
      </c>
      <c r="B76" s="409">
        <f t="shared" si="0"/>
        <v>0.9758775318112236</v>
      </c>
    </row>
    <row r="77" spans="1:2" ht="19.5" customHeight="1">
      <c r="A77" s="408">
        <v>0.98</v>
      </c>
      <c r="B77" s="409">
        <f t="shared" si="0"/>
        <v>0.9903806446884658</v>
      </c>
    </row>
    <row r="78" spans="1:2" ht="19.5" customHeight="1">
      <c r="A78" s="410">
        <v>1</v>
      </c>
      <c r="B78" s="411">
        <f t="shared" si="0"/>
        <v>1</v>
      </c>
    </row>
  </sheetData>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Q13"/>
  <sheetViews>
    <sheetView workbookViewId="0" topLeftCell="A1">
      <selection activeCell="R46" sqref="R46"/>
    </sheetView>
  </sheetViews>
  <sheetFormatPr defaultColWidth="11.421875" defaultRowHeight="19.5" customHeight="1"/>
  <cols>
    <col min="1" max="1" width="38.8515625" style="177" customWidth="1"/>
    <col min="2" max="17" width="9.00390625" style="177" customWidth="1"/>
    <col min="18" max="16384" width="10.140625" style="177" customWidth="1"/>
  </cols>
  <sheetData>
    <row r="1" ht="19.5" customHeight="1">
      <c r="A1" s="362" t="s">
        <v>26</v>
      </c>
    </row>
    <row r="2" ht="19.5" customHeight="1">
      <c r="A2" s="241"/>
    </row>
    <row r="3" spans="1:17" ht="19.5" customHeight="1" thickBot="1">
      <c r="A3" s="441" t="s">
        <v>27</v>
      </c>
      <c r="B3" s="441" t="s">
        <v>28</v>
      </c>
      <c r="C3" s="441" t="s">
        <v>28</v>
      </c>
      <c r="D3" s="441" t="s">
        <v>28</v>
      </c>
      <c r="E3" s="441" t="s">
        <v>28</v>
      </c>
      <c r="F3" s="441" t="s">
        <v>29</v>
      </c>
      <c r="G3" s="441" t="s">
        <v>29</v>
      </c>
      <c r="H3" s="441" t="s">
        <v>29</v>
      </c>
      <c r="I3" s="441" t="s">
        <v>29</v>
      </c>
      <c r="J3" s="441" t="s">
        <v>30</v>
      </c>
      <c r="K3" s="441" t="s">
        <v>30</v>
      </c>
      <c r="L3" s="441" t="s">
        <v>30</v>
      </c>
      <c r="M3" s="441" t="s">
        <v>30</v>
      </c>
      <c r="N3" s="441" t="s">
        <v>31</v>
      </c>
      <c r="O3" s="441" t="s">
        <v>31</v>
      </c>
      <c r="P3" s="441" t="s">
        <v>31</v>
      </c>
      <c r="Q3" s="441" t="s">
        <v>31</v>
      </c>
    </row>
    <row r="4" spans="1:17" ht="19.5" customHeight="1">
      <c r="A4" s="177" t="s">
        <v>32</v>
      </c>
      <c r="B4" s="442">
        <v>4</v>
      </c>
      <c r="C4" s="443">
        <v>20</v>
      </c>
      <c r="D4" s="443">
        <v>40</v>
      </c>
      <c r="E4" s="443">
        <v>100</v>
      </c>
      <c r="F4" s="443">
        <v>4</v>
      </c>
      <c r="G4" s="443">
        <v>20</v>
      </c>
      <c r="H4" s="443">
        <v>40</v>
      </c>
      <c r="I4" s="443">
        <v>100</v>
      </c>
      <c r="J4" s="443">
        <v>4</v>
      </c>
      <c r="K4" s="443">
        <v>20</v>
      </c>
      <c r="L4" s="443">
        <v>40</v>
      </c>
      <c r="M4" s="443">
        <v>100</v>
      </c>
      <c r="N4" s="443">
        <v>4</v>
      </c>
      <c r="O4" s="443">
        <v>20</v>
      </c>
      <c r="P4" s="443">
        <v>40</v>
      </c>
      <c r="Q4" s="444">
        <v>100</v>
      </c>
    </row>
    <row r="5" spans="1:17" ht="19.5" customHeight="1">
      <c r="A5" s="177" t="s">
        <v>33</v>
      </c>
      <c r="B5" s="445">
        <v>0.37</v>
      </c>
      <c r="C5" s="446">
        <v>1.5</v>
      </c>
      <c r="D5" s="446">
        <v>3</v>
      </c>
      <c r="E5" s="446">
        <v>7.4</v>
      </c>
      <c r="F5" s="446">
        <v>0.24</v>
      </c>
      <c r="G5" s="446">
        <v>0.93</v>
      </c>
      <c r="H5" s="446">
        <v>1.9</v>
      </c>
      <c r="I5" s="446">
        <v>4.7</v>
      </c>
      <c r="J5" s="446">
        <v>0.17</v>
      </c>
      <c r="K5" s="446">
        <v>0.67</v>
      </c>
      <c r="L5" s="446">
        <v>1.4</v>
      </c>
      <c r="M5" s="446">
        <v>3.4</v>
      </c>
      <c r="N5" s="446">
        <v>0.64</v>
      </c>
      <c r="O5" s="446">
        <v>2.5</v>
      </c>
      <c r="P5" s="446">
        <v>5.1</v>
      </c>
      <c r="Q5" s="447">
        <v>12.7</v>
      </c>
    </row>
    <row r="6" spans="1:17" ht="19.5" customHeight="1">
      <c r="A6" s="177" t="s">
        <v>34</v>
      </c>
      <c r="B6" s="445">
        <v>31</v>
      </c>
      <c r="C6" s="446">
        <v>76</v>
      </c>
      <c r="D6" s="446">
        <v>140</v>
      </c>
      <c r="E6" s="446">
        <v>350</v>
      </c>
      <c r="F6" s="446">
        <v>35</v>
      </c>
      <c r="G6" s="446">
        <v>82</v>
      </c>
      <c r="H6" s="446">
        <v>150</v>
      </c>
      <c r="I6" s="446">
        <v>376</v>
      </c>
      <c r="J6" s="446">
        <v>26</v>
      </c>
      <c r="K6" s="446">
        <v>63</v>
      </c>
      <c r="L6" s="446">
        <v>115</v>
      </c>
      <c r="M6" s="446">
        <v>289</v>
      </c>
      <c r="N6" s="446">
        <v>36</v>
      </c>
      <c r="O6" s="446">
        <v>106</v>
      </c>
      <c r="P6" s="446">
        <v>209</v>
      </c>
      <c r="Q6" s="447">
        <v>523</v>
      </c>
    </row>
    <row r="7" spans="1:17" ht="19.5" customHeight="1" thickBot="1">
      <c r="A7" s="307" t="s">
        <v>35</v>
      </c>
      <c r="B7" s="448">
        <f>B5/B6</f>
        <v>0.011935483870967743</v>
      </c>
      <c r="C7" s="449">
        <f aca="true" t="shared" si="0" ref="C7:Q7">C5/C6</f>
        <v>0.019736842105263157</v>
      </c>
      <c r="D7" s="449">
        <f t="shared" si="0"/>
        <v>0.02142857142857143</v>
      </c>
      <c r="E7" s="449">
        <f t="shared" si="0"/>
        <v>0.021142857142857144</v>
      </c>
      <c r="F7" s="449">
        <f t="shared" si="0"/>
        <v>0.006857142857142857</v>
      </c>
      <c r="G7" s="449">
        <f t="shared" si="0"/>
        <v>0.011341463414634148</v>
      </c>
      <c r="H7" s="449">
        <f t="shared" si="0"/>
        <v>0.012666666666666666</v>
      </c>
      <c r="I7" s="449">
        <f t="shared" si="0"/>
        <v>0.0125</v>
      </c>
      <c r="J7" s="449">
        <f t="shared" si="0"/>
        <v>0.006538461538461539</v>
      </c>
      <c r="K7" s="449">
        <f t="shared" si="0"/>
        <v>0.010634920634920636</v>
      </c>
      <c r="L7" s="449">
        <f t="shared" si="0"/>
        <v>0.01217391304347826</v>
      </c>
      <c r="M7" s="449">
        <f t="shared" si="0"/>
        <v>0.011764705882352941</v>
      </c>
      <c r="N7" s="449">
        <f t="shared" si="0"/>
        <v>0.017777777777777778</v>
      </c>
      <c r="O7" s="449">
        <f t="shared" si="0"/>
        <v>0.02358490566037736</v>
      </c>
      <c r="P7" s="449">
        <f t="shared" si="0"/>
        <v>0.024401913875598084</v>
      </c>
      <c r="Q7" s="450">
        <f t="shared" si="0"/>
        <v>0.024282982791586995</v>
      </c>
    </row>
    <row r="9" spans="1:17" ht="28.5" customHeight="1">
      <c r="A9" s="451" t="s">
        <v>36</v>
      </c>
      <c r="B9" s="451"/>
      <c r="C9" s="451"/>
      <c r="D9" s="451"/>
      <c r="E9" s="451"/>
      <c r="F9" s="451"/>
      <c r="G9" s="451"/>
      <c r="H9" s="451"/>
      <c r="I9" s="451"/>
      <c r="J9" s="451"/>
      <c r="K9" s="451"/>
      <c r="L9" s="451"/>
      <c r="M9" s="451"/>
      <c r="N9" s="451"/>
      <c r="O9" s="451"/>
      <c r="P9" s="451"/>
      <c r="Q9" s="451"/>
    </row>
    <row r="11" spans="2:3" ht="19.5" customHeight="1" thickBot="1">
      <c r="B11" s="441" t="s">
        <v>37</v>
      </c>
      <c r="C11" s="441" t="s">
        <v>38</v>
      </c>
    </row>
    <row r="12" spans="1:3" ht="19.5" customHeight="1">
      <c r="A12" s="452" t="s">
        <v>39</v>
      </c>
      <c r="B12" s="453">
        <v>6.5</v>
      </c>
      <c r="C12" s="454">
        <f>B12*(7*2+12+16*3)/14</f>
        <v>34.357142857142854</v>
      </c>
    </row>
    <row r="13" spans="1:3" ht="19.5" customHeight="1" thickBot="1">
      <c r="A13" s="452" t="s">
        <v>40</v>
      </c>
      <c r="B13" s="455">
        <v>10</v>
      </c>
      <c r="C13" s="456">
        <f>B13*(7+16+2)/7</f>
        <v>35.714285714285715</v>
      </c>
    </row>
  </sheetData>
  <mergeCells count="1">
    <mergeCell ref="A9:Q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26"/>
  <sheetViews>
    <sheetView workbookViewId="0" topLeftCell="A1">
      <selection activeCell="A1" sqref="A1"/>
    </sheetView>
  </sheetViews>
  <sheetFormatPr defaultColWidth="11.421875" defaultRowHeight="21.75" customHeight="1"/>
  <cols>
    <col min="1" max="1" width="18.28125" style="458" customWidth="1"/>
    <col min="2" max="7" width="12.421875" style="458" customWidth="1"/>
    <col min="8" max="8" width="13.28125" style="458" customWidth="1"/>
    <col min="9" max="16384" width="12.421875" style="458" customWidth="1"/>
  </cols>
  <sheetData>
    <row r="1" spans="1:12" ht="21.75" customHeight="1">
      <c r="A1" s="457"/>
      <c r="B1" s="457"/>
      <c r="C1" s="457"/>
      <c r="D1" s="457"/>
      <c r="E1" s="457"/>
      <c r="F1" s="457"/>
      <c r="G1" s="457"/>
      <c r="H1" s="457"/>
      <c r="I1" s="457"/>
      <c r="J1" s="457"/>
      <c r="K1" s="457"/>
      <c r="L1" s="457"/>
    </row>
    <row r="2" spans="1:12" ht="25.5" customHeight="1">
      <c r="A2" s="459" t="s">
        <v>4</v>
      </c>
      <c r="B2" s="460"/>
      <c r="C2" s="460"/>
      <c r="D2" s="460"/>
      <c r="E2" s="460"/>
      <c r="F2" s="460"/>
      <c r="G2" s="460"/>
      <c r="H2" s="460"/>
      <c r="I2" s="460"/>
      <c r="J2" s="460"/>
      <c r="K2" s="460"/>
      <c r="L2" s="460"/>
    </row>
    <row r="3" spans="1:12" ht="21.75" customHeight="1" thickBot="1">
      <c r="A3" s="457"/>
      <c r="B3" s="457"/>
      <c r="C3" s="457"/>
      <c r="D3" s="457"/>
      <c r="E3" s="457"/>
      <c r="F3" s="457"/>
      <c r="G3" s="457"/>
      <c r="H3" s="457"/>
      <c r="I3" s="457"/>
      <c r="J3" s="457"/>
      <c r="K3" s="457"/>
      <c r="L3" s="457"/>
    </row>
    <row r="4" spans="1:12" ht="31.5" customHeight="1">
      <c r="A4" s="461" t="s">
        <v>41</v>
      </c>
      <c r="B4" s="462" t="s">
        <v>42</v>
      </c>
      <c r="C4" s="463"/>
      <c r="D4" s="462" t="s">
        <v>43</v>
      </c>
      <c r="E4" s="463"/>
      <c r="F4" s="462" t="s">
        <v>44</v>
      </c>
      <c r="G4" s="463"/>
      <c r="H4" s="462" t="s">
        <v>45</v>
      </c>
      <c r="I4" s="463"/>
      <c r="J4" s="464" t="s">
        <v>46</v>
      </c>
      <c r="K4" s="457"/>
      <c r="L4" s="457"/>
    </row>
    <row r="5" spans="1:12" ht="21.75" customHeight="1">
      <c r="A5" s="465"/>
      <c r="B5" s="466" t="s">
        <v>47</v>
      </c>
      <c r="C5" s="467" t="s">
        <v>48</v>
      </c>
      <c r="D5" s="466" t="s">
        <v>47</v>
      </c>
      <c r="E5" s="467" t="s">
        <v>48</v>
      </c>
      <c r="F5" s="466" t="s">
        <v>47</v>
      </c>
      <c r="G5" s="467" t="s">
        <v>48</v>
      </c>
      <c r="H5" s="466" t="s">
        <v>47</v>
      </c>
      <c r="I5" s="467" t="s">
        <v>48</v>
      </c>
      <c r="J5" s="468"/>
      <c r="K5" s="457"/>
      <c r="L5" s="457"/>
    </row>
    <row r="6" spans="1:12" ht="21.75" customHeight="1">
      <c r="A6" s="469" t="s">
        <v>49</v>
      </c>
      <c r="B6" s="470">
        <v>0</v>
      </c>
      <c r="C6" s="471">
        <f>IF(ISTEXT(B6)=TRUE,0,B6*$J6)</f>
        <v>0</v>
      </c>
      <c r="D6" s="470">
        <v>13</v>
      </c>
      <c r="E6" s="472">
        <f>IF(ISTEXT(D6)=TRUE,0,D6*$J6)</f>
        <v>1.95</v>
      </c>
      <c r="F6" s="470">
        <v>14</v>
      </c>
      <c r="G6" s="472">
        <f aca="true" t="shared" si="0" ref="G6:G11">IF(ISTEXT(F6)=TRUE,0,F6*$J6)</f>
        <v>2.1</v>
      </c>
      <c r="H6" s="470" t="s">
        <v>50</v>
      </c>
      <c r="I6" s="472">
        <f aca="true" t="shared" si="1" ref="I6:I11">IF(ISTEXT(H6)=TRUE,0,H6*$J6)</f>
        <v>0</v>
      </c>
      <c r="J6" s="473">
        <v>0.15</v>
      </c>
      <c r="K6" s="457"/>
      <c r="L6" s="457"/>
    </row>
    <row r="7" spans="1:12" ht="21.75" customHeight="1">
      <c r="A7" s="469" t="s">
        <v>51</v>
      </c>
      <c r="B7" s="470">
        <v>0</v>
      </c>
      <c r="C7" s="471">
        <f aca="true" t="shared" si="2" ref="C7:E11">IF(ISTEXT(B7)=TRUE,0,B7*$J7)</f>
        <v>0</v>
      </c>
      <c r="D7" s="470">
        <v>5.2</v>
      </c>
      <c r="E7" s="472">
        <f t="shared" si="2"/>
        <v>0.9359999999999999</v>
      </c>
      <c r="F7" s="470">
        <v>5.8</v>
      </c>
      <c r="G7" s="472">
        <f t="shared" si="0"/>
        <v>1.044</v>
      </c>
      <c r="H7" s="470" t="s">
        <v>50</v>
      </c>
      <c r="I7" s="472">
        <f t="shared" si="1"/>
        <v>0</v>
      </c>
      <c r="J7" s="473">
        <v>0.18</v>
      </c>
      <c r="K7" s="457"/>
      <c r="L7" s="457"/>
    </row>
    <row r="8" spans="1:12" ht="21.75" customHeight="1">
      <c r="A8" s="469" t="s">
        <v>52</v>
      </c>
      <c r="B8" s="470">
        <v>0.12</v>
      </c>
      <c r="C8" s="471">
        <f t="shared" si="2"/>
        <v>0.021599999999999998</v>
      </c>
      <c r="D8" s="470">
        <v>27</v>
      </c>
      <c r="E8" s="472">
        <f t="shared" si="2"/>
        <v>4.859999999999999</v>
      </c>
      <c r="F8" s="470">
        <v>89</v>
      </c>
      <c r="G8" s="472">
        <f t="shared" si="0"/>
        <v>16.02</v>
      </c>
      <c r="H8" s="470" t="s">
        <v>50</v>
      </c>
      <c r="I8" s="472">
        <f t="shared" si="1"/>
        <v>0</v>
      </c>
      <c r="J8" s="473">
        <v>0.18</v>
      </c>
      <c r="K8" s="457"/>
      <c r="L8" s="457"/>
    </row>
    <row r="9" spans="1:12" ht="21.75" customHeight="1">
      <c r="A9" s="469" t="s">
        <v>53</v>
      </c>
      <c r="B9" s="470" t="s">
        <v>54</v>
      </c>
      <c r="C9" s="471">
        <f t="shared" si="2"/>
        <v>0</v>
      </c>
      <c r="D9" s="470">
        <v>19</v>
      </c>
      <c r="E9" s="472">
        <f t="shared" si="2"/>
        <v>3.42</v>
      </c>
      <c r="F9" s="470">
        <v>21</v>
      </c>
      <c r="G9" s="472">
        <f t="shared" si="0"/>
        <v>3.78</v>
      </c>
      <c r="H9" s="470" t="s">
        <v>50</v>
      </c>
      <c r="I9" s="472">
        <f t="shared" si="1"/>
        <v>0</v>
      </c>
      <c r="J9" s="473">
        <v>0.18</v>
      </c>
      <c r="K9" s="457"/>
      <c r="L9" s="457"/>
    </row>
    <row r="10" spans="1:12" ht="21.75" customHeight="1">
      <c r="A10" s="469" t="s">
        <v>55</v>
      </c>
      <c r="B10" s="470">
        <v>0.003</v>
      </c>
      <c r="C10" s="471">
        <f t="shared" si="2"/>
        <v>0.00054</v>
      </c>
      <c r="D10" s="470">
        <v>1.1</v>
      </c>
      <c r="E10" s="472">
        <f t="shared" si="2"/>
        <v>0.198</v>
      </c>
      <c r="F10" s="470">
        <v>1.3</v>
      </c>
      <c r="G10" s="472">
        <f t="shared" si="0"/>
        <v>0.23399999999999999</v>
      </c>
      <c r="H10" s="470" t="s">
        <v>50</v>
      </c>
      <c r="I10" s="472">
        <f t="shared" si="1"/>
        <v>0</v>
      </c>
      <c r="J10" s="473">
        <v>0.18</v>
      </c>
      <c r="K10" s="457"/>
      <c r="L10" s="457"/>
    </row>
    <row r="11" spans="1:12" ht="21.75" customHeight="1">
      <c r="A11" s="469" t="s">
        <v>56</v>
      </c>
      <c r="B11" s="470">
        <v>0.001</v>
      </c>
      <c r="C11" s="471">
        <f t="shared" si="2"/>
        <v>0.00017999999999999998</v>
      </c>
      <c r="D11" s="470">
        <v>22</v>
      </c>
      <c r="E11" s="472">
        <f t="shared" si="2"/>
        <v>3.96</v>
      </c>
      <c r="F11" s="470">
        <v>23</v>
      </c>
      <c r="G11" s="472">
        <f t="shared" si="0"/>
        <v>4.14</v>
      </c>
      <c r="H11" s="470" t="s">
        <v>50</v>
      </c>
      <c r="I11" s="472">
        <f t="shared" si="1"/>
        <v>0</v>
      </c>
      <c r="J11" s="473">
        <v>0.18</v>
      </c>
      <c r="K11" s="457"/>
      <c r="L11" s="457"/>
    </row>
    <row r="12" spans="1:12" ht="21.75" customHeight="1" thickBot="1">
      <c r="A12" s="474" t="s">
        <v>57</v>
      </c>
      <c r="B12" s="475">
        <v>0.124</v>
      </c>
      <c r="C12" s="476">
        <f>SUM(C6:C11)</f>
        <v>0.022319999999999996</v>
      </c>
      <c r="D12" s="475">
        <v>88</v>
      </c>
      <c r="E12" s="477">
        <f>SUM(E6:E11)</f>
        <v>15.324000000000002</v>
      </c>
      <c r="F12" s="475">
        <v>150</v>
      </c>
      <c r="G12" s="477">
        <f>SUM(G6:G11)</f>
        <v>27.318000000000005</v>
      </c>
      <c r="H12" s="475" t="s">
        <v>58</v>
      </c>
      <c r="I12" s="477">
        <f>SUM(I6:I11)</f>
        <v>0</v>
      </c>
      <c r="J12" s="478"/>
      <c r="K12" s="457"/>
      <c r="L12" s="457"/>
    </row>
    <row r="13" spans="1:12" ht="21.75" customHeight="1">
      <c r="A13" s="457"/>
      <c r="B13" s="457"/>
      <c r="C13" s="457"/>
      <c r="D13" s="457"/>
      <c r="E13" s="457"/>
      <c r="F13" s="457"/>
      <c r="G13" s="457"/>
      <c r="H13" s="457"/>
      <c r="I13" s="457"/>
      <c r="J13" s="457"/>
      <c r="K13" s="457"/>
      <c r="L13" s="457"/>
    </row>
    <row r="14" spans="1:12" ht="21.75" customHeight="1">
      <c r="A14" s="457" t="s">
        <v>59</v>
      </c>
      <c r="B14" s="457"/>
      <c r="C14" s="457"/>
      <c r="D14" s="457"/>
      <c r="E14" s="457"/>
      <c r="F14" s="457"/>
      <c r="G14" s="457"/>
      <c r="H14" s="457"/>
      <c r="I14" s="457"/>
      <c r="J14" s="457"/>
      <c r="K14" s="457"/>
      <c r="L14" s="457"/>
    </row>
    <row r="15" spans="1:12" ht="21.75" customHeight="1">
      <c r="A15" s="457" t="s">
        <v>60</v>
      </c>
      <c r="B15" s="457"/>
      <c r="C15" s="457"/>
      <c r="D15" s="457"/>
      <c r="E15" s="457"/>
      <c r="F15" s="457"/>
      <c r="G15" s="457"/>
      <c r="H15" s="457"/>
      <c r="I15" s="457"/>
      <c r="J15" s="457"/>
      <c r="K15" s="457"/>
      <c r="L15" s="457"/>
    </row>
    <row r="16" spans="1:12" ht="21.75" customHeight="1">
      <c r="A16" s="457"/>
      <c r="B16" s="457"/>
      <c r="C16" s="457"/>
      <c r="D16" s="457"/>
      <c r="E16" s="457"/>
      <c r="F16" s="457"/>
      <c r="G16" s="457"/>
      <c r="H16" s="457"/>
      <c r="I16" s="457"/>
      <c r="J16" s="457"/>
      <c r="K16" s="457"/>
      <c r="L16" s="457"/>
    </row>
    <row r="17" spans="1:12" ht="21.75" customHeight="1" thickBot="1">
      <c r="A17" s="457"/>
      <c r="B17" s="457" t="s">
        <v>61</v>
      </c>
      <c r="C17" s="457"/>
      <c r="D17" s="457"/>
      <c r="E17" s="457"/>
      <c r="F17" s="457"/>
      <c r="G17" s="457"/>
      <c r="H17" s="457"/>
      <c r="I17" s="457"/>
      <c r="J17" s="457"/>
      <c r="K17" s="457"/>
      <c r="L17" s="457"/>
    </row>
    <row r="18" spans="1:12" ht="21.75" customHeight="1">
      <c r="A18" s="479">
        <v>0.2</v>
      </c>
      <c r="B18" s="457" t="s">
        <v>62</v>
      </c>
      <c r="C18" s="457"/>
      <c r="D18" s="457"/>
      <c r="E18" s="457"/>
      <c r="F18" s="457"/>
      <c r="G18" s="457"/>
      <c r="H18" s="457"/>
      <c r="I18" s="457"/>
      <c r="J18" s="457"/>
      <c r="K18" s="457"/>
      <c r="L18" s="457"/>
    </row>
    <row r="19" spans="1:12" ht="21.75" customHeight="1">
      <c r="A19" s="480">
        <v>19000000</v>
      </c>
      <c r="B19" s="457" t="s">
        <v>63</v>
      </c>
      <c r="C19" s="457"/>
      <c r="D19" s="457"/>
      <c r="E19" s="457"/>
      <c r="F19" s="457"/>
      <c r="G19" s="457"/>
      <c r="H19" s="457"/>
      <c r="I19" s="457"/>
      <c r="J19" s="457"/>
      <c r="K19" s="457"/>
      <c r="L19" s="457"/>
    </row>
    <row r="20" spans="1:12" ht="21.75" customHeight="1">
      <c r="A20" s="481">
        <v>45</v>
      </c>
      <c r="B20" s="457" t="s">
        <v>64</v>
      </c>
      <c r="C20" s="457"/>
      <c r="D20" s="457"/>
      <c r="E20" s="457"/>
      <c r="F20" s="457"/>
      <c r="G20" s="457"/>
      <c r="H20" s="457"/>
      <c r="I20" s="457"/>
      <c r="J20" s="457"/>
      <c r="K20" s="457"/>
      <c r="L20" s="457"/>
    </row>
    <row r="21" spans="1:12" ht="21.75" customHeight="1">
      <c r="A21" s="482">
        <f>(144*2+16*3)/(144*2)</f>
        <v>1.1666666666666667</v>
      </c>
      <c r="B21" s="457" t="s">
        <v>65</v>
      </c>
      <c r="C21" s="457"/>
      <c r="D21" s="457"/>
      <c r="E21" s="457"/>
      <c r="F21" s="457"/>
      <c r="G21" s="457"/>
      <c r="H21" s="457"/>
      <c r="I21" s="457"/>
      <c r="J21" s="457"/>
      <c r="K21" s="457"/>
      <c r="L21" s="457"/>
    </row>
    <row r="22" spans="1:12" ht="21.75" customHeight="1">
      <c r="A22" s="483">
        <v>2</v>
      </c>
      <c r="B22" s="457" t="s">
        <v>66</v>
      </c>
      <c r="C22" s="457"/>
      <c r="D22" s="457"/>
      <c r="E22" s="457"/>
      <c r="F22" s="457"/>
      <c r="G22" s="457"/>
      <c r="H22" s="457"/>
      <c r="I22" s="457"/>
      <c r="J22" s="457"/>
      <c r="K22" s="457"/>
      <c r="L22" s="457"/>
    </row>
    <row r="23" spans="1:12" ht="21.75" customHeight="1">
      <c r="A23" s="484">
        <f>A18*A19/A20*A21</f>
        <v>98518.51851851851</v>
      </c>
      <c r="B23" s="457" t="s">
        <v>5</v>
      </c>
      <c r="C23" s="457"/>
      <c r="D23" s="457"/>
      <c r="E23" s="457"/>
      <c r="F23" s="457"/>
      <c r="G23" s="457"/>
      <c r="H23" s="457"/>
      <c r="I23" s="457"/>
      <c r="J23" s="457"/>
      <c r="K23" s="457"/>
      <c r="L23" s="457"/>
    </row>
    <row r="24" spans="1:12" ht="21.75" customHeight="1">
      <c r="A24" s="485">
        <f>E$12*1000000/(A$23+C$12*1000000)</f>
        <v>126.81386852364959</v>
      </c>
      <c r="B24" s="457" t="s">
        <v>6</v>
      </c>
      <c r="C24" s="457"/>
      <c r="D24" s="457"/>
      <c r="E24" s="457"/>
      <c r="F24" s="457"/>
      <c r="G24" s="457"/>
      <c r="H24" s="457"/>
      <c r="I24" s="457"/>
      <c r="J24" s="457"/>
      <c r="K24" s="457"/>
      <c r="L24" s="457"/>
    </row>
    <row r="25" spans="1:12" ht="21.75" customHeight="1">
      <c r="A25" s="485">
        <f>G12*1000000/(A$23+C$12*1000000)</f>
        <v>226.07029889905112</v>
      </c>
      <c r="B25" s="457" t="s">
        <v>7</v>
      </c>
      <c r="C25" s="457"/>
      <c r="D25" s="457"/>
      <c r="E25" s="457"/>
      <c r="F25" s="457"/>
      <c r="G25" s="457"/>
      <c r="H25" s="457"/>
      <c r="I25" s="457"/>
      <c r="J25" s="457"/>
      <c r="K25" s="457"/>
      <c r="L25" s="457"/>
    </row>
    <row r="26" spans="1:12" ht="21.75" customHeight="1" thickBot="1">
      <c r="A26" s="486">
        <f>A22*A25</f>
        <v>452.14059779810225</v>
      </c>
      <c r="B26" s="457" t="s">
        <v>8</v>
      </c>
      <c r="C26" s="457"/>
      <c r="D26" s="457"/>
      <c r="E26" s="457"/>
      <c r="F26" s="457"/>
      <c r="G26" s="457"/>
      <c r="H26" s="457"/>
      <c r="I26" s="457"/>
      <c r="J26" s="457"/>
      <c r="K26" s="457"/>
      <c r="L26" s="457"/>
    </row>
  </sheetData>
  <mergeCells count="5">
    <mergeCell ref="A2:L2"/>
    <mergeCell ref="B4:C4"/>
    <mergeCell ref="D4:E4"/>
    <mergeCell ref="F4:G4"/>
    <mergeCell ref="H4:I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C17"/>
  <sheetViews>
    <sheetView workbookViewId="0" topLeftCell="A1">
      <selection activeCell="B10" sqref="B10"/>
    </sheetView>
  </sheetViews>
  <sheetFormatPr defaultColWidth="11.421875" defaultRowHeight="18" customHeight="1"/>
  <cols>
    <col min="1" max="1" width="11.7109375" style="95" customWidth="1"/>
    <col min="2" max="2" width="81.421875" style="79" customWidth="1"/>
    <col min="3" max="3" width="59.7109375" style="79" customWidth="1"/>
    <col min="4" max="5" width="10.8515625" style="79" customWidth="1"/>
    <col min="6" max="6" width="14.140625" style="79" customWidth="1"/>
    <col min="7" max="16384" width="10.8515625" style="79" customWidth="1"/>
  </cols>
  <sheetData>
    <row r="2" spans="1:3" ht="22.5" customHeight="1">
      <c r="A2" s="93" t="s">
        <v>523</v>
      </c>
      <c r="B2" s="80" t="s">
        <v>522</v>
      </c>
      <c r="C2" s="81" t="s">
        <v>471</v>
      </c>
    </row>
    <row r="4" spans="1:3" s="82" customFormat="1" ht="18" customHeight="1">
      <c r="A4" s="94">
        <v>0.8</v>
      </c>
      <c r="B4" s="82" t="s">
        <v>473</v>
      </c>
      <c r="C4" s="83" t="s">
        <v>475</v>
      </c>
    </row>
    <row r="5" spans="1:3" s="82" customFormat="1" ht="36" customHeight="1">
      <c r="A5" s="94">
        <v>0.97</v>
      </c>
      <c r="B5" s="82" t="s">
        <v>474</v>
      </c>
      <c r="C5" s="83" t="s">
        <v>475</v>
      </c>
    </row>
    <row r="6" spans="1:3" s="82" customFormat="1" ht="18" customHeight="1">
      <c r="A6" s="94">
        <v>0.8</v>
      </c>
      <c r="B6" s="82" t="s">
        <v>476</v>
      </c>
      <c r="C6" s="83" t="s">
        <v>472</v>
      </c>
    </row>
    <row r="7" spans="1:3" s="82" customFormat="1" ht="19.5" customHeight="1">
      <c r="A7" s="94">
        <v>0.7</v>
      </c>
      <c r="B7" s="82" t="s">
        <v>477</v>
      </c>
      <c r="C7" s="83" t="s">
        <v>478</v>
      </c>
    </row>
    <row r="8" spans="1:3" s="82" customFormat="1" ht="36" customHeight="1">
      <c r="A8" s="94">
        <f>1.12</f>
        <v>1.12</v>
      </c>
      <c r="B8" s="82" t="s">
        <v>378</v>
      </c>
      <c r="C8" s="83" t="s">
        <v>379</v>
      </c>
    </row>
    <row r="9" spans="1:3" s="82" customFormat="1" ht="36" customHeight="1">
      <c r="A9" s="94">
        <f>1.28*1.03</f>
        <v>1.3184</v>
      </c>
      <c r="B9" s="82" t="s">
        <v>346</v>
      </c>
      <c r="C9" s="83" t="s">
        <v>379</v>
      </c>
    </row>
    <row r="10" spans="1:3" s="82" customFormat="1" ht="30" customHeight="1">
      <c r="A10" s="94">
        <v>1.1</v>
      </c>
      <c r="B10" s="82" t="s">
        <v>222</v>
      </c>
      <c r="C10" s="83" t="s">
        <v>311</v>
      </c>
    </row>
    <row r="11" spans="1:3" s="82" customFormat="1" ht="30" customHeight="1">
      <c r="A11" s="94">
        <v>0.15</v>
      </c>
      <c r="B11" s="82" t="s">
        <v>236</v>
      </c>
      <c r="C11" s="83" t="s">
        <v>235</v>
      </c>
    </row>
    <row r="12" spans="1:3" s="82" customFormat="1" ht="16.5" customHeight="1">
      <c r="A12" s="94">
        <v>5.3</v>
      </c>
      <c r="B12" s="82" t="s">
        <v>302</v>
      </c>
      <c r="C12" s="83" t="s">
        <v>379</v>
      </c>
    </row>
    <row r="13" spans="1:3" s="82" customFormat="1" ht="18" customHeight="1">
      <c r="A13" s="94">
        <v>2.7</v>
      </c>
      <c r="B13" s="82" t="s">
        <v>380</v>
      </c>
      <c r="C13" s="83" t="s">
        <v>379</v>
      </c>
    </row>
    <row r="14" spans="1:2" ht="18" customHeight="1">
      <c r="A14" s="120">
        <v>0.28</v>
      </c>
      <c r="B14" s="79" t="s">
        <v>467</v>
      </c>
    </row>
    <row r="15" spans="1:2" ht="18" customHeight="1">
      <c r="A15" s="120">
        <v>0.18</v>
      </c>
      <c r="B15" s="79" t="s">
        <v>468</v>
      </c>
    </row>
    <row r="16" spans="1:2" ht="18" customHeight="1">
      <c r="A16" s="120">
        <v>0.27</v>
      </c>
      <c r="B16" s="79" t="s">
        <v>466</v>
      </c>
    </row>
    <row r="17" spans="1:2" ht="18" customHeight="1">
      <c r="A17" s="120">
        <v>0.07</v>
      </c>
      <c r="B17" s="79" t="s">
        <v>469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5"/>
  <sheetViews>
    <sheetView zoomScale="125" zoomScaleNormal="125" workbookViewId="0" topLeftCell="A1">
      <selection activeCell="F40" sqref="F40"/>
    </sheetView>
  </sheetViews>
  <sheetFormatPr defaultColWidth="11.421875" defaultRowHeight="15.75" customHeight="1"/>
  <cols>
    <col min="1" max="1" width="21.421875" style="0" customWidth="1"/>
    <col min="2" max="3" width="12.421875" style="40" customWidth="1"/>
    <col min="4" max="16384" width="12.421875" style="0" customWidth="1"/>
  </cols>
  <sheetData>
    <row r="1" ht="15.75" customHeight="1">
      <c r="A1" s="1" t="s">
        <v>227</v>
      </c>
    </row>
    <row r="2" spans="2:3" ht="15.75" customHeight="1">
      <c r="B2" s="46" t="s">
        <v>228</v>
      </c>
      <c r="C2" s="46" t="s">
        <v>434</v>
      </c>
    </row>
    <row r="3" spans="1:3" ht="15.75" customHeight="1">
      <c r="A3" t="s">
        <v>431</v>
      </c>
      <c r="B3" s="40">
        <v>2174</v>
      </c>
      <c r="C3" s="41">
        <f>B3/B$7</f>
        <v>0.7300201477501679</v>
      </c>
    </row>
    <row r="4" spans="1:3" ht="15.75" customHeight="1">
      <c r="A4" t="s">
        <v>432</v>
      </c>
      <c r="B4" s="40">
        <v>352</v>
      </c>
      <c r="C4" s="41">
        <f>B4/B$7</f>
        <v>0.11820013431833445</v>
      </c>
    </row>
    <row r="5" spans="1:3" ht="15.75" customHeight="1">
      <c r="A5" t="s">
        <v>435</v>
      </c>
      <c r="B5" s="40">
        <v>216</v>
      </c>
      <c r="C5" s="41">
        <f>B5/B$7</f>
        <v>0.0725319006044325</v>
      </c>
    </row>
    <row r="6" spans="1:3" ht="15.75" customHeight="1">
      <c r="A6" t="s">
        <v>433</v>
      </c>
      <c r="B6" s="40">
        <f>452-B5</f>
        <v>236</v>
      </c>
      <c r="C6" s="41">
        <f>B6/B$7</f>
        <v>0.07924781732706515</v>
      </c>
    </row>
    <row r="7" ht="15.75" customHeight="1">
      <c r="B7" s="40">
        <f>SUM(B3:B6)</f>
        <v>2978</v>
      </c>
    </row>
    <row r="8" ht="15.75" customHeight="1">
      <c r="A8" s="13" t="s">
        <v>332</v>
      </c>
    </row>
    <row r="10" spans="1:2" ht="15.75" customHeight="1">
      <c r="A10" s="1" t="s">
        <v>331</v>
      </c>
      <c r="B10" s="42"/>
    </row>
    <row r="11" spans="1:3" ht="15.75" customHeight="1">
      <c r="A11" s="1"/>
      <c r="B11" s="46" t="s">
        <v>398</v>
      </c>
      <c r="C11" s="46" t="s">
        <v>434</v>
      </c>
    </row>
    <row r="12" spans="1:3" ht="15.75" customHeight="1">
      <c r="A12" t="s">
        <v>482</v>
      </c>
      <c r="B12" s="43">
        <v>17216</v>
      </c>
      <c r="C12" s="41">
        <f aca="true" t="shared" si="0" ref="C12:C18">B12/B$19</f>
        <v>0.6121897446838774</v>
      </c>
    </row>
    <row r="13" spans="1:3" ht="15.75" customHeight="1">
      <c r="A13" t="s">
        <v>481</v>
      </c>
      <c r="B13" s="43">
        <v>33</v>
      </c>
      <c r="C13" s="41">
        <f t="shared" si="0"/>
        <v>0.001173458502240239</v>
      </c>
    </row>
    <row r="14" spans="1:3" ht="15.75" customHeight="1">
      <c r="A14" t="s">
        <v>483</v>
      </c>
      <c r="B14" s="43">
        <v>3379</v>
      </c>
      <c r="C14" s="41">
        <f t="shared" si="0"/>
        <v>0.12015503875968993</v>
      </c>
    </row>
    <row r="15" spans="1:3" ht="15.75" customHeight="1">
      <c r="A15" t="s">
        <v>487</v>
      </c>
      <c r="B15" s="43">
        <v>6414</v>
      </c>
      <c r="C15" s="41">
        <f t="shared" si="0"/>
        <v>0.22807766161723916</v>
      </c>
    </row>
    <row r="16" spans="1:3" ht="15.75" customHeight="1">
      <c r="A16" t="s">
        <v>486</v>
      </c>
      <c r="B16" s="40">
        <v>27</v>
      </c>
      <c r="C16" s="41">
        <f t="shared" si="0"/>
        <v>0.0009601024109238319</v>
      </c>
    </row>
    <row r="17" spans="1:3" ht="15.75" customHeight="1">
      <c r="A17" t="s">
        <v>484</v>
      </c>
      <c r="B17" s="43">
        <v>906</v>
      </c>
      <c r="C17" s="41">
        <f t="shared" si="0"/>
        <v>0.032216769788777466</v>
      </c>
    </row>
    <row r="18" spans="1:3" ht="15.75" customHeight="1">
      <c r="A18" t="s">
        <v>485</v>
      </c>
      <c r="B18" s="43">
        <v>147</v>
      </c>
      <c r="C18" s="41">
        <f t="shared" si="0"/>
        <v>0.005227224237251973</v>
      </c>
    </row>
    <row r="19" spans="1:2" ht="15.75" customHeight="1">
      <c r="A19" s="1" t="s">
        <v>396</v>
      </c>
      <c r="B19" s="44">
        <f>SUM(B12:B18)</f>
        <v>28122</v>
      </c>
    </row>
    <row r="20" ht="15.75" customHeight="1">
      <c r="A20" s="13" t="s">
        <v>374</v>
      </c>
    </row>
    <row r="24" ht="15.75" customHeight="1">
      <c r="A24" s="1" t="s">
        <v>330</v>
      </c>
    </row>
    <row r="25" spans="2:3" ht="15.75" customHeight="1">
      <c r="B25" s="46" t="s">
        <v>395</v>
      </c>
      <c r="C25" s="46" t="s">
        <v>434</v>
      </c>
    </row>
    <row r="26" spans="1:3" ht="15.75" customHeight="1">
      <c r="A26" t="s">
        <v>389</v>
      </c>
      <c r="B26" s="43">
        <v>3552</v>
      </c>
      <c r="C26" s="41">
        <f>B26/B$31</f>
        <v>0.07496834107218235</v>
      </c>
    </row>
    <row r="27" spans="1:3" ht="15.75" customHeight="1">
      <c r="A27" t="s">
        <v>390</v>
      </c>
      <c r="B27" s="43">
        <v>1903</v>
      </c>
      <c r="C27" s="41">
        <f>B27/B$31</f>
        <v>0.04016462642465175</v>
      </c>
    </row>
    <row r="28" spans="1:3" ht="15.75" customHeight="1">
      <c r="A28" t="s">
        <v>391</v>
      </c>
      <c r="B28" s="43">
        <v>39118</v>
      </c>
      <c r="C28" s="41">
        <f>B28/B$31</f>
        <v>0.8256226255804137</v>
      </c>
    </row>
    <row r="29" spans="1:3" ht="15.75" customHeight="1">
      <c r="A29" t="s">
        <v>394</v>
      </c>
      <c r="B29" s="43">
        <v>328</v>
      </c>
      <c r="C29" s="41">
        <f>B29/B$31</f>
        <v>0.006922752216124947</v>
      </c>
    </row>
    <row r="30" spans="1:3" ht="15.75" customHeight="1">
      <c r="A30" t="s">
        <v>393</v>
      </c>
      <c r="B30" s="43">
        <v>2479</v>
      </c>
      <c r="C30" s="41">
        <f>B30/B$31</f>
        <v>0.052321654706627266</v>
      </c>
    </row>
    <row r="31" spans="1:2" ht="15.75" customHeight="1">
      <c r="A31" t="s">
        <v>396</v>
      </c>
      <c r="B31" s="45">
        <f>SUM(B26:B30)</f>
        <v>47380</v>
      </c>
    </row>
    <row r="32" ht="15.75" customHeight="1">
      <c r="A32" s="13" t="s">
        <v>375</v>
      </c>
    </row>
    <row r="33" ht="15.75" customHeight="1" thickBot="1"/>
    <row r="34" spans="1:6" ht="15.75" customHeight="1">
      <c r="A34" s="55" t="s">
        <v>331</v>
      </c>
      <c r="B34" s="69"/>
      <c r="C34" s="64"/>
      <c r="E34" s="85"/>
      <c r="F34" s="80" t="s">
        <v>401</v>
      </c>
    </row>
    <row r="35" spans="1:3" ht="15.75" customHeight="1">
      <c r="A35" s="65"/>
      <c r="B35" s="70" t="s">
        <v>434</v>
      </c>
      <c r="C35" s="84" t="s">
        <v>234</v>
      </c>
    </row>
    <row r="36" spans="1:3" ht="15.75" customHeight="1">
      <c r="A36" s="65" t="s">
        <v>231</v>
      </c>
      <c r="B36" s="71">
        <f>C12+C16</f>
        <v>0.6131498470948012</v>
      </c>
      <c r="C36" s="66">
        <v>0.95</v>
      </c>
    </row>
    <row r="37" spans="1:3" ht="15.75" customHeight="1">
      <c r="A37" s="65" t="s">
        <v>230</v>
      </c>
      <c r="B37" s="71">
        <f>C15*C28</f>
        <v>0.18830607782066613</v>
      </c>
      <c r="C37" s="66">
        <v>0.7</v>
      </c>
    </row>
    <row r="38" spans="1:3" ht="15.75" customHeight="1">
      <c r="A38" s="65" t="s">
        <v>397</v>
      </c>
      <c r="B38" s="71">
        <f>C15*C30</f>
        <v>0.011933400657432163</v>
      </c>
      <c r="C38" s="66">
        <v>0.5</v>
      </c>
    </row>
    <row r="39" spans="1:3" ht="15.75" customHeight="1">
      <c r="A39" s="65" t="s">
        <v>394</v>
      </c>
      <c r="B39" s="71">
        <f>C15*C29</f>
        <v>0.0015789251374093382</v>
      </c>
      <c r="C39" s="66">
        <v>0</v>
      </c>
    </row>
    <row r="40" spans="1:3" ht="15.75" customHeight="1">
      <c r="A40" s="65" t="s">
        <v>233</v>
      </c>
      <c r="B40" s="71">
        <f>C15*C26</f>
        <v>0.01709860392706698</v>
      </c>
      <c r="C40" s="66">
        <v>0.8</v>
      </c>
    </row>
    <row r="41" spans="1:3" ht="15.75" customHeight="1">
      <c r="A41" s="65" t="s">
        <v>343</v>
      </c>
      <c r="B41" s="71">
        <f>C13+C14</f>
        <v>0.12132849726193017</v>
      </c>
      <c r="C41" s="66">
        <v>0</v>
      </c>
    </row>
    <row r="42" spans="1:3" ht="15.75" customHeight="1">
      <c r="A42" s="65" t="s">
        <v>232</v>
      </c>
      <c r="B42" s="71">
        <f>C17+C15*C27</f>
        <v>0.04137742386344201</v>
      </c>
      <c r="C42" s="66">
        <v>0</v>
      </c>
    </row>
    <row r="43" spans="1:3" ht="15.75" customHeight="1">
      <c r="A43" s="65" t="s">
        <v>485</v>
      </c>
      <c r="B43" s="72">
        <f>C18</f>
        <v>0.005227224237251973</v>
      </c>
      <c r="C43" s="66">
        <v>0</v>
      </c>
    </row>
    <row r="44" spans="1:3" ht="15.75" customHeight="1" thickBot="1">
      <c r="A44" s="67" t="s">
        <v>396</v>
      </c>
      <c r="B44" s="73">
        <f>SUM(B36:B43)</f>
        <v>1</v>
      </c>
      <c r="C44" s="68">
        <f>SUMPRODUCT(B36:B43,C36:C43)</f>
        <v>0.733952192684897</v>
      </c>
    </row>
    <row r="45" ht="15.75" customHeight="1">
      <c r="A45" s="13" t="s">
        <v>229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49"/>
  <sheetViews>
    <sheetView workbookViewId="0" topLeftCell="A1">
      <selection activeCell="N20" sqref="N20"/>
    </sheetView>
  </sheetViews>
  <sheetFormatPr defaultColWidth="11.421875" defaultRowHeight="12.75"/>
  <cols>
    <col min="1" max="1" width="18.00390625" style="0" customWidth="1"/>
    <col min="3" max="3" width="14.28125" style="0" customWidth="1"/>
    <col min="6" max="6" width="13.00390625" style="0" customWidth="1"/>
  </cols>
  <sheetData>
    <row r="1" spans="1:18" ht="15">
      <c r="A1" s="123" t="s">
        <v>402</v>
      </c>
      <c r="B1" s="124"/>
      <c r="C1" s="124"/>
      <c r="D1" s="124"/>
      <c r="E1" s="124"/>
      <c r="F1" s="124"/>
      <c r="G1" s="124"/>
      <c r="H1" s="124"/>
      <c r="I1" s="124"/>
      <c r="J1" s="124"/>
      <c r="K1" s="124"/>
      <c r="L1" s="124"/>
      <c r="M1" s="124"/>
      <c r="N1" s="124"/>
      <c r="O1" s="124"/>
      <c r="P1" s="124"/>
      <c r="Q1" s="124"/>
      <c r="R1" s="125"/>
    </row>
    <row r="2" spans="1:18" ht="19.5" customHeight="1">
      <c r="A2" s="126" t="s">
        <v>344</v>
      </c>
      <c r="B2" s="127"/>
      <c r="C2" s="127"/>
      <c r="D2" s="127"/>
      <c r="E2" s="127"/>
      <c r="F2" s="127"/>
      <c r="G2" s="127"/>
      <c r="H2" s="127"/>
      <c r="I2" s="127"/>
      <c r="J2" s="127"/>
      <c r="K2" s="127"/>
      <c r="L2" s="127"/>
      <c r="M2" s="127"/>
      <c r="N2" s="127"/>
      <c r="O2" s="127"/>
      <c r="P2" s="127"/>
      <c r="Q2" s="127"/>
      <c r="R2" s="128"/>
    </row>
    <row r="3" spans="1:18" s="4" customFormat="1" ht="12">
      <c r="A3" s="129" t="s">
        <v>358</v>
      </c>
      <c r="B3" s="132" t="s">
        <v>291</v>
      </c>
      <c r="C3" s="133"/>
      <c r="D3" s="133"/>
      <c r="E3" s="134"/>
      <c r="F3" s="16" t="s">
        <v>359</v>
      </c>
      <c r="G3" s="132" t="s">
        <v>360</v>
      </c>
      <c r="H3" s="133"/>
      <c r="I3" s="133"/>
      <c r="J3" s="134"/>
      <c r="K3" s="132" t="s">
        <v>292</v>
      </c>
      <c r="L3" s="133"/>
      <c r="M3" s="134"/>
      <c r="N3" s="132" t="s">
        <v>396</v>
      </c>
      <c r="O3" s="133"/>
      <c r="P3" s="133"/>
      <c r="Q3" s="133"/>
      <c r="R3" s="134"/>
    </row>
    <row r="4" spans="1:18" s="4" customFormat="1" ht="12">
      <c r="A4" s="130"/>
      <c r="B4" s="135"/>
      <c r="C4" s="136"/>
      <c r="D4" s="136"/>
      <c r="E4" s="137"/>
      <c r="F4" s="18" t="s">
        <v>293</v>
      </c>
      <c r="G4" s="135"/>
      <c r="H4" s="136"/>
      <c r="I4" s="136"/>
      <c r="J4" s="137"/>
      <c r="K4" s="135"/>
      <c r="L4" s="136"/>
      <c r="M4" s="137"/>
      <c r="N4" s="135"/>
      <c r="O4" s="136"/>
      <c r="P4" s="136"/>
      <c r="Q4" s="136"/>
      <c r="R4" s="137"/>
    </row>
    <row r="5" spans="1:18" s="4" customFormat="1" ht="12">
      <c r="A5" s="130"/>
      <c r="B5" s="16" t="s">
        <v>361</v>
      </c>
      <c r="C5" s="16" t="s">
        <v>362</v>
      </c>
      <c r="D5" s="16" t="s">
        <v>363</v>
      </c>
      <c r="E5" s="129" t="s">
        <v>294</v>
      </c>
      <c r="F5" s="129" t="s">
        <v>295</v>
      </c>
      <c r="G5" s="16" t="s">
        <v>361</v>
      </c>
      <c r="H5" s="16" t="s">
        <v>362</v>
      </c>
      <c r="I5" s="16" t="s">
        <v>363</v>
      </c>
      <c r="J5" s="129" t="s">
        <v>294</v>
      </c>
      <c r="K5" s="16" t="s">
        <v>361</v>
      </c>
      <c r="L5" s="16" t="s">
        <v>362</v>
      </c>
      <c r="M5" s="129" t="s">
        <v>294</v>
      </c>
      <c r="N5" s="16" t="s">
        <v>361</v>
      </c>
      <c r="O5" s="16" t="s">
        <v>362</v>
      </c>
      <c r="P5" s="16" t="s">
        <v>363</v>
      </c>
      <c r="Q5" s="129" t="s">
        <v>294</v>
      </c>
      <c r="R5" s="129" t="s">
        <v>296</v>
      </c>
    </row>
    <row r="6" spans="1:18" s="4" customFormat="1" ht="12">
      <c r="A6" s="131"/>
      <c r="B6" s="18" t="s">
        <v>364</v>
      </c>
      <c r="C6" s="18" t="s">
        <v>297</v>
      </c>
      <c r="D6" s="18" t="s">
        <v>298</v>
      </c>
      <c r="E6" s="131"/>
      <c r="F6" s="131"/>
      <c r="G6" s="18" t="s">
        <v>364</v>
      </c>
      <c r="H6" s="18" t="s">
        <v>297</v>
      </c>
      <c r="I6" s="18" t="s">
        <v>298</v>
      </c>
      <c r="J6" s="131"/>
      <c r="K6" s="18" t="s">
        <v>364</v>
      </c>
      <c r="L6" s="18" t="s">
        <v>297</v>
      </c>
      <c r="M6" s="131"/>
      <c r="N6" s="18" t="s">
        <v>299</v>
      </c>
      <c r="O6" s="18" t="s">
        <v>297</v>
      </c>
      <c r="P6" s="18" t="s">
        <v>300</v>
      </c>
      <c r="Q6" s="131"/>
      <c r="R6" s="131"/>
    </row>
    <row r="7" spans="1:18" s="4" customFormat="1" ht="15.75" customHeight="1">
      <c r="A7" s="14"/>
      <c r="B7" s="138" t="s">
        <v>301</v>
      </c>
      <c r="C7" s="139"/>
      <c r="D7" s="139"/>
      <c r="E7" s="139"/>
      <c r="F7" s="139"/>
      <c r="G7" s="139"/>
      <c r="H7" s="139"/>
      <c r="I7" s="139"/>
      <c r="J7" s="139"/>
      <c r="K7" s="139"/>
      <c r="L7" s="139"/>
      <c r="M7" s="139"/>
      <c r="N7" s="139"/>
      <c r="O7" s="139"/>
      <c r="P7" s="139"/>
      <c r="Q7" s="139"/>
      <c r="R7" s="140"/>
    </row>
    <row r="8" spans="1:18" s="4" customFormat="1" ht="15.75" customHeight="1">
      <c r="A8" s="23">
        <v>1978</v>
      </c>
      <c r="B8" s="25">
        <v>4.26</v>
      </c>
      <c r="C8" s="25">
        <v>0.4</v>
      </c>
      <c r="D8" s="25">
        <v>2.05</v>
      </c>
      <c r="E8" s="25">
        <v>0.23</v>
      </c>
      <c r="F8" s="25">
        <v>0.32</v>
      </c>
      <c r="G8" s="25">
        <v>1.04</v>
      </c>
      <c r="H8" s="25">
        <v>0.29</v>
      </c>
      <c r="I8" s="25">
        <v>0.14</v>
      </c>
      <c r="J8" s="25">
        <v>0.06</v>
      </c>
      <c r="K8" s="25">
        <v>0.28</v>
      </c>
      <c r="L8" s="25">
        <v>1.45</v>
      </c>
      <c r="M8" s="25">
        <v>0.03</v>
      </c>
      <c r="N8" s="25">
        <v>5.58</v>
      </c>
      <c r="O8" s="25">
        <v>2.47</v>
      </c>
      <c r="P8" s="25">
        <v>2.19</v>
      </c>
      <c r="Q8" s="25">
        <v>0.33</v>
      </c>
      <c r="R8" s="25" t="s">
        <v>365</v>
      </c>
    </row>
    <row r="9" spans="1:18" s="4" customFormat="1" ht="15.75" customHeight="1">
      <c r="A9" s="23">
        <v>1979</v>
      </c>
      <c r="B9" s="25" t="s">
        <v>365</v>
      </c>
      <c r="C9" s="25" t="s">
        <v>365</v>
      </c>
      <c r="D9" s="25" t="s">
        <v>365</v>
      </c>
      <c r="E9" s="25" t="s">
        <v>365</v>
      </c>
      <c r="F9" s="25" t="s">
        <v>365</v>
      </c>
      <c r="G9" s="25" t="s">
        <v>365</v>
      </c>
      <c r="H9" s="25" t="s">
        <v>365</v>
      </c>
      <c r="I9" s="25" t="s">
        <v>365</v>
      </c>
      <c r="J9" s="25" t="s">
        <v>365</v>
      </c>
      <c r="K9" s="25" t="s">
        <v>365</v>
      </c>
      <c r="L9" s="25" t="s">
        <v>365</v>
      </c>
      <c r="M9" s="25" t="s">
        <v>365</v>
      </c>
      <c r="N9" s="25">
        <v>5.31</v>
      </c>
      <c r="O9" s="25">
        <v>2.42</v>
      </c>
      <c r="P9" s="25">
        <v>1.71</v>
      </c>
      <c r="Q9" s="25">
        <v>0.31</v>
      </c>
      <c r="R9" s="25" t="s">
        <v>365</v>
      </c>
    </row>
    <row r="10" spans="1:18" s="4" customFormat="1" ht="15.75" customHeight="1">
      <c r="A10" s="26">
        <v>1980</v>
      </c>
      <c r="B10" s="28">
        <v>3.41</v>
      </c>
      <c r="C10" s="28">
        <v>0.27</v>
      </c>
      <c r="D10" s="28">
        <v>1.3</v>
      </c>
      <c r="E10" s="28">
        <v>0.23</v>
      </c>
      <c r="F10" s="28">
        <v>0.36</v>
      </c>
      <c r="G10" s="28">
        <v>1.15</v>
      </c>
      <c r="H10" s="28">
        <v>0.3</v>
      </c>
      <c r="I10" s="28">
        <v>0.22</v>
      </c>
      <c r="J10" s="28">
        <v>0.07</v>
      </c>
      <c r="K10" s="28">
        <v>0.36</v>
      </c>
      <c r="L10" s="28">
        <v>1.54</v>
      </c>
      <c r="M10" s="28">
        <v>0.05</v>
      </c>
      <c r="N10" s="28">
        <v>4.97</v>
      </c>
      <c r="O10" s="28">
        <v>2.48</v>
      </c>
      <c r="P10" s="28">
        <v>1.52</v>
      </c>
      <c r="Q10" s="28">
        <v>0.35</v>
      </c>
      <c r="R10" s="28">
        <v>0.85</v>
      </c>
    </row>
    <row r="11" spans="1:18" s="4" customFormat="1" ht="15.75" customHeight="1">
      <c r="A11" s="23">
        <v>1981</v>
      </c>
      <c r="B11" s="25">
        <v>3.69</v>
      </c>
      <c r="C11" s="25">
        <v>0.26</v>
      </c>
      <c r="D11" s="25">
        <v>1.06</v>
      </c>
      <c r="E11" s="25">
        <v>0.21</v>
      </c>
      <c r="F11" s="25">
        <v>0.34</v>
      </c>
      <c r="G11" s="25">
        <v>1.13</v>
      </c>
      <c r="H11" s="25">
        <v>0.3</v>
      </c>
      <c r="I11" s="25">
        <v>0.22</v>
      </c>
      <c r="J11" s="25">
        <v>0.06</v>
      </c>
      <c r="K11" s="25">
        <v>0.43</v>
      </c>
      <c r="L11" s="25">
        <v>1.52</v>
      </c>
      <c r="M11" s="25">
        <v>0.05</v>
      </c>
      <c r="N11" s="25">
        <v>5.27</v>
      </c>
      <c r="O11" s="25">
        <v>2.42</v>
      </c>
      <c r="P11" s="25">
        <v>1.28</v>
      </c>
      <c r="Q11" s="25">
        <v>0.31</v>
      </c>
      <c r="R11" s="25">
        <v>0.87</v>
      </c>
    </row>
    <row r="12" spans="1:18" s="4" customFormat="1" ht="15.75" customHeight="1">
      <c r="A12" s="23">
        <v>1982</v>
      </c>
      <c r="B12" s="25">
        <v>3.14</v>
      </c>
      <c r="C12" s="25">
        <v>0.25</v>
      </c>
      <c r="D12" s="25">
        <v>1.04</v>
      </c>
      <c r="E12" s="25">
        <v>0.19</v>
      </c>
      <c r="F12" s="25">
        <v>0.31</v>
      </c>
      <c r="G12" s="25">
        <v>1.15</v>
      </c>
      <c r="H12" s="25">
        <v>0.28</v>
      </c>
      <c r="I12" s="25">
        <v>0.15</v>
      </c>
      <c r="J12" s="25">
        <v>0.06</v>
      </c>
      <c r="K12" s="25">
        <v>0.43</v>
      </c>
      <c r="L12" s="25">
        <v>1.5</v>
      </c>
      <c r="M12" s="25">
        <v>0.05</v>
      </c>
      <c r="N12" s="25">
        <v>4.74</v>
      </c>
      <c r="O12" s="25">
        <v>2.35</v>
      </c>
      <c r="P12" s="25">
        <v>1.2</v>
      </c>
      <c r="Q12" s="25">
        <v>0.29</v>
      </c>
      <c r="R12" s="25">
        <v>0.97</v>
      </c>
    </row>
    <row r="13" spans="1:18" s="4" customFormat="1" ht="15.75" customHeight="1">
      <c r="A13" s="26">
        <v>1984</v>
      </c>
      <c r="B13" s="28">
        <v>3.51</v>
      </c>
      <c r="C13" s="28">
        <v>0.25</v>
      </c>
      <c r="D13" s="28">
        <v>1.11</v>
      </c>
      <c r="E13" s="28">
        <v>0.21</v>
      </c>
      <c r="F13" s="28">
        <v>0.32</v>
      </c>
      <c r="G13" s="28">
        <v>1.1</v>
      </c>
      <c r="H13" s="28">
        <v>0.32</v>
      </c>
      <c r="I13" s="28">
        <v>0.15</v>
      </c>
      <c r="J13" s="28">
        <v>0.06</v>
      </c>
      <c r="K13" s="28">
        <v>0.35</v>
      </c>
      <c r="L13" s="28">
        <v>1.59</v>
      </c>
      <c r="M13" s="28">
        <v>0.04</v>
      </c>
      <c r="N13" s="28">
        <v>4.98</v>
      </c>
      <c r="O13" s="28">
        <v>2.48</v>
      </c>
      <c r="P13" s="28">
        <v>1.26</v>
      </c>
      <c r="Q13" s="28">
        <v>0.31</v>
      </c>
      <c r="R13" s="28">
        <v>0.98</v>
      </c>
    </row>
    <row r="14" spans="1:18" s="4" customFormat="1" ht="15.75" customHeight="1">
      <c r="A14" s="23">
        <v>1987</v>
      </c>
      <c r="B14" s="25">
        <v>3.38</v>
      </c>
      <c r="C14" s="25">
        <v>0.28</v>
      </c>
      <c r="D14" s="25">
        <v>1.05</v>
      </c>
      <c r="E14" s="25">
        <v>0.22</v>
      </c>
      <c r="F14" s="25">
        <v>0.44</v>
      </c>
      <c r="G14" s="25">
        <v>1.1</v>
      </c>
      <c r="H14" s="25">
        <v>0.31</v>
      </c>
      <c r="I14" s="25">
        <v>0.17</v>
      </c>
      <c r="J14" s="25">
        <v>0.06</v>
      </c>
      <c r="K14" s="25">
        <v>0.34</v>
      </c>
      <c r="L14" s="25">
        <v>1.72</v>
      </c>
      <c r="M14" s="25">
        <v>0.04</v>
      </c>
      <c r="N14" s="25">
        <v>4.83</v>
      </c>
      <c r="O14" s="25">
        <v>2.76</v>
      </c>
      <c r="P14" s="25">
        <v>1.22</v>
      </c>
      <c r="Q14" s="25">
        <v>0.32</v>
      </c>
      <c r="R14" s="25">
        <v>0.85</v>
      </c>
    </row>
    <row r="15" spans="1:18" s="4" customFormat="1" ht="15.75" customHeight="1">
      <c r="A15" s="23">
        <v>1990</v>
      </c>
      <c r="B15" s="25">
        <v>3.37</v>
      </c>
      <c r="C15" s="25">
        <v>0.3</v>
      </c>
      <c r="D15" s="25">
        <v>0.93</v>
      </c>
      <c r="E15" s="25">
        <v>0.19</v>
      </c>
      <c r="F15" s="25">
        <v>0.48</v>
      </c>
      <c r="G15" s="25">
        <v>1.16</v>
      </c>
      <c r="H15" s="25">
        <v>0.34</v>
      </c>
      <c r="I15" s="25">
        <v>0.11</v>
      </c>
      <c r="J15" s="25">
        <v>0.06</v>
      </c>
      <c r="K15" s="25">
        <v>0.33</v>
      </c>
      <c r="L15" s="25">
        <v>1.91</v>
      </c>
      <c r="M15" s="25">
        <v>0.03</v>
      </c>
      <c r="N15" s="25">
        <v>4.86</v>
      </c>
      <c r="O15" s="25">
        <v>3.03</v>
      </c>
      <c r="P15" s="25">
        <v>1.04</v>
      </c>
      <c r="Q15" s="25">
        <v>0.28</v>
      </c>
      <c r="R15" s="25">
        <v>0.58</v>
      </c>
    </row>
    <row r="16" spans="1:18" s="4" customFormat="1" ht="15.75" customHeight="1">
      <c r="A16" s="26">
        <v>1993</v>
      </c>
      <c r="B16" s="28">
        <v>3.67</v>
      </c>
      <c r="C16" s="28">
        <v>0.41</v>
      </c>
      <c r="D16" s="28">
        <v>0.95</v>
      </c>
      <c r="E16" s="28">
        <v>0.3</v>
      </c>
      <c r="F16" s="28">
        <v>0.46</v>
      </c>
      <c r="G16" s="28">
        <v>1.31</v>
      </c>
      <c r="H16" s="28">
        <v>0.34</v>
      </c>
      <c r="I16" s="28">
        <v>0.12</v>
      </c>
      <c r="J16" s="28">
        <v>0.05</v>
      </c>
      <c r="K16" s="28">
        <v>0.29</v>
      </c>
      <c r="L16" s="28">
        <v>2.08</v>
      </c>
      <c r="M16" s="28">
        <v>0.03</v>
      </c>
      <c r="N16" s="28">
        <v>5.27</v>
      </c>
      <c r="O16" s="28">
        <v>3.28</v>
      </c>
      <c r="P16" s="28">
        <v>1.07</v>
      </c>
      <c r="Q16" s="28">
        <v>0.38</v>
      </c>
      <c r="R16" s="28">
        <v>0.55</v>
      </c>
    </row>
    <row r="17" spans="1:18" s="4" customFormat="1" ht="15.75" customHeight="1">
      <c r="A17" s="23">
        <v>1997</v>
      </c>
      <c r="B17" s="25">
        <v>3.61</v>
      </c>
      <c r="C17" s="25">
        <v>0.4</v>
      </c>
      <c r="D17" s="25">
        <v>0.91</v>
      </c>
      <c r="E17" s="25">
        <v>0.26</v>
      </c>
      <c r="F17" s="25">
        <v>0.42</v>
      </c>
      <c r="G17" s="25">
        <v>1.29</v>
      </c>
      <c r="H17" s="25">
        <v>0.39</v>
      </c>
      <c r="I17" s="25">
        <v>0.16</v>
      </c>
      <c r="J17" s="25">
        <v>0.08</v>
      </c>
      <c r="K17" s="25">
        <v>0.37</v>
      </c>
      <c r="L17" s="25">
        <v>2.33</v>
      </c>
      <c r="M17" s="25">
        <v>0.02</v>
      </c>
      <c r="N17" s="25">
        <v>5.28</v>
      </c>
      <c r="O17" s="25">
        <v>3.54</v>
      </c>
      <c r="P17" s="25">
        <v>1.07</v>
      </c>
      <c r="Q17" s="25">
        <v>0.36</v>
      </c>
      <c r="R17" s="25">
        <v>0.43</v>
      </c>
    </row>
    <row r="18" spans="1:18" s="4" customFormat="1" ht="15.75" customHeight="1">
      <c r="A18" s="23">
        <v>2001</v>
      </c>
      <c r="B18" s="25">
        <v>3.32</v>
      </c>
      <c r="C18" s="25">
        <v>0.39</v>
      </c>
      <c r="D18" s="25">
        <v>0.62</v>
      </c>
      <c r="E18" s="25">
        <v>0.28</v>
      </c>
      <c r="F18" s="25">
        <v>0.62</v>
      </c>
      <c r="G18" s="25">
        <v>1.15</v>
      </c>
      <c r="H18" s="25">
        <v>0.36</v>
      </c>
      <c r="I18" s="25">
        <v>0.13</v>
      </c>
      <c r="J18" s="25">
        <v>0.05</v>
      </c>
      <c r="K18" s="25">
        <v>0.37</v>
      </c>
      <c r="L18" s="25">
        <v>2.52</v>
      </c>
      <c r="M18" s="25">
        <v>0.05</v>
      </c>
      <c r="N18" s="25">
        <v>4.84</v>
      </c>
      <c r="O18" s="25">
        <v>3.89</v>
      </c>
      <c r="P18" s="25">
        <v>0.75</v>
      </c>
      <c r="Q18" s="25">
        <v>0.38</v>
      </c>
      <c r="R18" s="25">
        <v>0.37</v>
      </c>
    </row>
    <row r="19" ht="15.75" customHeight="1"/>
    <row r="20" spans="1:21" s="4" customFormat="1" ht="15.75" customHeight="1">
      <c r="A20" s="15" t="s">
        <v>348</v>
      </c>
      <c r="B20" s="48">
        <v>0.95</v>
      </c>
      <c r="C20" s="48">
        <v>1</v>
      </c>
      <c r="D20" s="48">
        <v>0.95</v>
      </c>
      <c r="E20" s="48">
        <v>0.95</v>
      </c>
      <c r="F20" s="48">
        <v>1</v>
      </c>
      <c r="G20" s="48">
        <v>1</v>
      </c>
      <c r="H20" s="48">
        <v>1</v>
      </c>
      <c r="I20" s="48">
        <v>1</v>
      </c>
      <c r="J20" s="48">
        <v>1</v>
      </c>
      <c r="K20" s="48">
        <v>0.8</v>
      </c>
      <c r="L20" s="48">
        <v>1</v>
      </c>
      <c r="M20" s="48">
        <v>0.8</v>
      </c>
      <c r="N20" s="75"/>
      <c r="O20" s="75"/>
      <c r="P20" s="75"/>
      <c r="Q20" s="75"/>
      <c r="R20" s="75"/>
      <c r="S20" s="33"/>
      <c r="T20" s="33"/>
      <c r="U20" s="33"/>
    </row>
    <row r="21" spans="1:21" s="4" customFormat="1" ht="15.75" customHeight="1">
      <c r="A21" s="15"/>
      <c r="B21" s="48"/>
      <c r="C21" s="48"/>
      <c r="D21" s="48"/>
      <c r="E21" s="48"/>
      <c r="F21" s="48"/>
      <c r="G21" s="48"/>
      <c r="H21" s="48"/>
      <c r="I21" s="48"/>
      <c r="J21" s="48"/>
      <c r="K21" s="48"/>
      <c r="L21" s="48"/>
      <c r="M21" s="48"/>
      <c r="N21" s="75"/>
      <c r="O21" s="75"/>
      <c r="P21" s="75"/>
      <c r="Q21" s="75"/>
      <c r="R21" s="75"/>
      <c r="S21" s="33"/>
      <c r="T21" s="33"/>
      <c r="U21" s="33"/>
    </row>
    <row r="22" spans="2:21" s="4" customFormat="1" ht="15.75" customHeight="1">
      <c r="B22" s="77" t="s">
        <v>350</v>
      </c>
      <c r="C22" s="77" t="s">
        <v>351</v>
      </c>
      <c r="D22" s="39"/>
      <c r="E22" s="39"/>
      <c r="F22" s="39"/>
      <c r="G22" s="39"/>
      <c r="H22" s="39"/>
      <c r="I22" s="39"/>
      <c r="J22" s="39"/>
      <c r="K22" s="39"/>
      <c r="L22" s="39"/>
      <c r="M22" s="39"/>
      <c r="N22" s="75"/>
      <c r="O22" s="75"/>
      <c r="P22" s="75"/>
      <c r="Q22" s="75"/>
      <c r="R22" s="75"/>
      <c r="S22" s="33"/>
      <c r="T22" s="33"/>
      <c r="U22" s="33"/>
    </row>
    <row r="23" spans="1:18" s="4" customFormat="1" ht="15.75" customHeight="1">
      <c r="A23" s="15" t="s">
        <v>349</v>
      </c>
      <c r="B23" s="78">
        <f>(B18*B20+G18*G20+K18*K20)/N18</f>
        <v>0.950413223140496</v>
      </c>
      <c r="C23" s="78">
        <f>(D18*D20+I18*I20)/P18</f>
        <v>0.9586666666666667</v>
      </c>
      <c r="E23" s="39"/>
      <c r="F23" s="39"/>
      <c r="G23" s="39"/>
      <c r="H23" s="39"/>
      <c r="I23" s="39"/>
      <c r="J23" s="39"/>
      <c r="K23" s="39"/>
      <c r="L23" s="39"/>
      <c r="M23" s="39"/>
      <c r="N23" s="75"/>
      <c r="O23" s="75"/>
      <c r="P23" s="75"/>
      <c r="Q23" s="75"/>
      <c r="R23" s="75"/>
    </row>
    <row r="24" spans="1:18" s="4" customFormat="1" ht="15.75" customHeight="1">
      <c r="A24" s="76"/>
      <c r="B24" s="75"/>
      <c r="C24" s="75"/>
      <c r="D24" s="75"/>
      <c r="E24" s="75"/>
      <c r="F24" s="75"/>
      <c r="G24" s="75"/>
      <c r="H24" s="75"/>
      <c r="I24" s="75"/>
      <c r="J24" s="75"/>
      <c r="K24" s="75"/>
      <c r="L24" s="75"/>
      <c r="M24" s="75"/>
      <c r="N24" s="75"/>
      <c r="O24" s="75"/>
      <c r="P24" s="75"/>
      <c r="Q24" s="75"/>
      <c r="R24" s="75"/>
    </row>
    <row r="25" spans="1:18" s="4" customFormat="1" ht="15.75" customHeight="1">
      <c r="A25" s="74"/>
      <c r="B25" s="135" t="s">
        <v>268</v>
      </c>
      <c r="C25" s="136"/>
      <c r="D25" s="136"/>
      <c r="E25" s="136"/>
      <c r="F25" s="136"/>
      <c r="G25" s="136"/>
      <c r="H25" s="136"/>
      <c r="I25" s="136"/>
      <c r="J25" s="136"/>
      <c r="K25" s="136"/>
      <c r="L25" s="136"/>
      <c r="M25" s="136"/>
      <c r="N25" s="136"/>
      <c r="O25" s="136"/>
      <c r="P25" s="136"/>
      <c r="Q25" s="136"/>
      <c r="R25" s="137"/>
    </row>
    <row r="26" spans="1:18" s="4" customFormat="1" ht="15.75" customHeight="1">
      <c r="A26" s="23">
        <v>1978</v>
      </c>
      <c r="B26" s="25">
        <v>11.49</v>
      </c>
      <c r="C26" s="25">
        <v>3.53</v>
      </c>
      <c r="D26" s="25">
        <v>8.06</v>
      </c>
      <c r="E26" s="25">
        <v>1.05</v>
      </c>
      <c r="F26" s="25">
        <v>4.12</v>
      </c>
      <c r="G26" s="25">
        <v>2.88</v>
      </c>
      <c r="H26" s="25">
        <v>3.14</v>
      </c>
      <c r="I26" s="25">
        <v>0.56</v>
      </c>
      <c r="J26" s="25">
        <v>0.36</v>
      </c>
      <c r="K26" s="25">
        <v>0.93</v>
      </c>
      <c r="L26" s="25">
        <v>19.1</v>
      </c>
      <c r="M26" s="25">
        <v>0.25</v>
      </c>
      <c r="N26" s="25">
        <v>15.3</v>
      </c>
      <c r="O26" s="25">
        <v>29.89</v>
      </c>
      <c r="P26" s="25">
        <v>8.62</v>
      </c>
      <c r="Q26" s="25">
        <v>1.66</v>
      </c>
      <c r="R26" s="25" t="s">
        <v>365</v>
      </c>
    </row>
    <row r="27" spans="1:18" s="4" customFormat="1" ht="15.75" customHeight="1">
      <c r="A27" s="23">
        <v>1979</v>
      </c>
      <c r="B27" s="25" t="s">
        <v>365</v>
      </c>
      <c r="C27" s="25" t="s">
        <v>365</v>
      </c>
      <c r="D27" s="25" t="s">
        <v>365</v>
      </c>
      <c r="E27" s="25" t="s">
        <v>365</v>
      </c>
      <c r="F27" s="25" t="s">
        <v>365</v>
      </c>
      <c r="G27" s="25" t="s">
        <v>365</v>
      </c>
      <c r="H27" s="25" t="s">
        <v>365</v>
      </c>
      <c r="I27" s="25" t="s">
        <v>365</v>
      </c>
      <c r="J27" s="25" t="s">
        <v>365</v>
      </c>
      <c r="K27" s="25" t="s">
        <v>365</v>
      </c>
      <c r="L27" s="25" t="s">
        <v>365</v>
      </c>
      <c r="M27" s="25" t="s">
        <v>365</v>
      </c>
      <c r="N27" s="25">
        <v>17.84</v>
      </c>
      <c r="O27" s="25">
        <v>32.56</v>
      </c>
      <c r="P27" s="25">
        <v>10.73</v>
      </c>
      <c r="Q27" s="25">
        <v>2.06</v>
      </c>
      <c r="R27" s="25" t="s">
        <v>365</v>
      </c>
    </row>
    <row r="28" spans="1:18" s="4" customFormat="1" ht="15.75" customHeight="1">
      <c r="A28" s="26">
        <v>1980</v>
      </c>
      <c r="B28" s="28">
        <v>13.22</v>
      </c>
      <c r="C28" s="28">
        <v>3.78</v>
      </c>
      <c r="D28" s="28">
        <v>10.48</v>
      </c>
      <c r="E28" s="28">
        <v>1.78</v>
      </c>
      <c r="F28" s="28">
        <v>5.84</v>
      </c>
      <c r="G28" s="28">
        <v>4.51</v>
      </c>
      <c r="H28" s="28">
        <v>4.45</v>
      </c>
      <c r="I28" s="28">
        <v>1.76</v>
      </c>
      <c r="J28" s="28">
        <v>0.57</v>
      </c>
      <c r="K28" s="28">
        <v>1.91</v>
      </c>
      <c r="L28" s="28">
        <v>26.74</v>
      </c>
      <c r="M28" s="28">
        <v>0.44</v>
      </c>
      <c r="N28" s="28">
        <v>19.77</v>
      </c>
      <c r="O28" s="28">
        <v>40.81</v>
      </c>
      <c r="P28" s="28">
        <v>12.24</v>
      </c>
      <c r="Q28" s="28">
        <v>2.8</v>
      </c>
      <c r="R28" s="28" t="s">
        <v>365</v>
      </c>
    </row>
    <row r="29" spans="1:18" s="4" customFormat="1" ht="15.75" customHeight="1">
      <c r="A29" s="23">
        <v>1981</v>
      </c>
      <c r="B29" s="25">
        <v>16.62</v>
      </c>
      <c r="C29" s="25">
        <v>3.93</v>
      </c>
      <c r="D29" s="25">
        <v>9.44</v>
      </c>
      <c r="E29" s="25">
        <v>1.78</v>
      </c>
      <c r="F29" s="25">
        <v>6.23</v>
      </c>
      <c r="G29" s="25">
        <v>5.13</v>
      </c>
      <c r="H29" s="25">
        <v>4.94</v>
      </c>
      <c r="I29" s="25">
        <v>1.94</v>
      </c>
      <c r="J29" s="25">
        <v>0.51</v>
      </c>
      <c r="K29" s="25">
        <v>2.17</v>
      </c>
      <c r="L29" s="25">
        <v>29.7</v>
      </c>
      <c r="M29" s="25">
        <v>0.52</v>
      </c>
      <c r="N29" s="25">
        <v>24.03</v>
      </c>
      <c r="O29" s="25">
        <v>44.8</v>
      </c>
      <c r="P29" s="25">
        <v>11.29</v>
      </c>
      <c r="Q29" s="25">
        <v>2.81</v>
      </c>
      <c r="R29" s="25" t="s">
        <v>365</v>
      </c>
    </row>
    <row r="30" spans="1:18" s="4" customFormat="1" ht="15.75" customHeight="1">
      <c r="A30" s="23">
        <v>1982</v>
      </c>
      <c r="B30" s="25">
        <v>17.74</v>
      </c>
      <c r="C30" s="25">
        <v>4.21</v>
      </c>
      <c r="D30" s="25">
        <v>8.8</v>
      </c>
      <c r="E30" s="25">
        <v>1.69</v>
      </c>
      <c r="F30" s="25">
        <v>6.23</v>
      </c>
      <c r="G30" s="25">
        <v>6.51</v>
      </c>
      <c r="H30" s="25">
        <v>5</v>
      </c>
      <c r="I30" s="25">
        <v>1.28</v>
      </c>
      <c r="J30" s="25">
        <v>0.54</v>
      </c>
      <c r="K30" s="25">
        <v>2.58</v>
      </c>
      <c r="L30" s="25">
        <v>31.29</v>
      </c>
      <c r="M30" s="25">
        <v>0.52</v>
      </c>
      <c r="N30" s="25">
        <v>26.96</v>
      </c>
      <c r="O30" s="25">
        <v>46.74</v>
      </c>
      <c r="P30" s="25">
        <v>10.07</v>
      </c>
      <c r="Q30" s="25">
        <v>2.75</v>
      </c>
      <c r="R30" s="25" t="s">
        <v>365</v>
      </c>
    </row>
    <row r="31" spans="1:18" s="4" customFormat="1" ht="15.75" customHeight="1">
      <c r="A31" s="26">
        <v>1984</v>
      </c>
      <c r="B31" s="28">
        <v>20.66</v>
      </c>
      <c r="C31" s="28">
        <v>4.62</v>
      </c>
      <c r="D31" s="28">
        <v>8.51</v>
      </c>
      <c r="E31" s="28">
        <v>2</v>
      </c>
      <c r="F31" s="28">
        <v>7.06</v>
      </c>
      <c r="G31" s="28">
        <v>6.63</v>
      </c>
      <c r="H31" s="28">
        <v>6.44</v>
      </c>
      <c r="I31" s="28">
        <v>1.09</v>
      </c>
      <c r="J31" s="28">
        <v>0.58</v>
      </c>
      <c r="K31" s="28">
        <v>2.31</v>
      </c>
      <c r="L31" s="28">
        <v>36.36</v>
      </c>
      <c r="M31" s="28">
        <v>0.54</v>
      </c>
      <c r="N31" s="28">
        <v>29.78</v>
      </c>
      <c r="O31" s="28">
        <v>54.48</v>
      </c>
      <c r="P31" s="28">
        <v>9.6</v>
      </c>
      <c r="Q31" s="28">
        <v>3.12</v>
      </c>
      <c r="R31" s="28" t="s">
        <v>365</v>
      </c>
    </row>
    <row r="32" spans="1:18" s="4" customFormat="1" ht="15.75" customHeight="1">
      <c r="A32" s="23">
        <v>1987</v>
      </c>
      <c r="B32" s="25">
        <v>18.05</v>
      </c>
      <c r="C32" s="25">
        <v>5.53</v>
      </c>
      <c r="D32" s="25">
        <v>6.25</v>
      </c>
      <c r="E32" s="25">
        <v>1.85</v>
      </c>
      <c r="F32" s="25">
        <v>9.77</v>
      </c>
      <c r="G32" s="25">
        <v>6.02</v>
      </c>
      <c r="H32" s="25">
        <v>6.45</v>
      </c>
      <c r="I32" s="25">
        <v>0.94</v>
      </c>
      <c r="J32" s="25">
        <v>0.5</v>
      </c>
      <c r="K32" s="25">
        <v>2.02</v>
      </c>
      <c r="L32" s="25">
        <v>39.83</v>
      </c>
      <c r="M32" s="25">
        <v>0.46</v>
      </c>
      <c r="N32" s="25">
        <v>26.15</v>
      </c>
      <c r="O32" s="25">
        <v>61.58</v>
      </c>
      <c r="P32" s="25">
        <v>7.21</v>
      </c>
      <c r="Q32" s="25">
        <v>2.81</v>
      </c>
      <c r="R32" s="25" t="s">
        <v>365</v>
      </c>
    </row>
    <row r="33" spans="1:18" s="4" customFormat="1" ht="15.75" customHeight="1">
      <c r="A33" s="23">
        <v>1990</v>
      </c>
      <c r="B33" s="25">
        <v>18.59</v>
      </c>
      <c r="C33" s="25">
        <v>6.16</v>
      </c>
      <c r="D33" s="25">
        <v>7.42</v>
      </c>
      <c r="E33" s="25">
        <v>2.01</v>
      </c>
      <c r="F33" s="25">
        <v>11.23</v>
      </c>
      <c r="G33" s="25">
        <v>6.59</v>
      </c>
      <c r="H33" s="25">
        <v>7.21</v>
      </c>
      <c r="I33" s="25">
        <v>0.83</v>
      </c>
      <c r="J33" s="25">
        <v>0.65</v>
      </c>
      <c r="K33" s="25">
        <v>2.03</v>
      </c>
      <c r="L33" s="25">
        <v>46.95</v>
      </c>
      <c r="M33" s="25">
        <v>0.48</v>
      </c>
      <c r="N33" s="25">
        <v>27.26</v>
      </c>
      <c r="O33" s="25">
        <v>71.54</v>
      </c>
      <c r="P33" s="25">
        <v>8.25</v>
      </c>
      <c r="Q33" s="25">
        <v>3.14</v>
      </c>
      <c r="R33" s="25" t="s">
        <v>365</v>
      </c>
    </row>
    <row r="34" spans="1:18" s="4" customFormat="1" ht="15.75" customHeight="1">
      <c r="A34" s="26">
        <v>1993</v>
      </c>
      <c r="B34" s="28">
        <v>21.95</v>
      </c>
      <c r="C34" s="28">
        <v>8.66</v>
      </c>
      <c r="D34" s="28">
        <v>6.24</v>
      </c>
      <c r="E34" s="28">
        <v>2.81</v>
      </c>
      <c r="F34" s="28">
        <v>11.31</v>
      </c>
      <c r="G34" s="28">
        <v>8.08</v>
      </c>
      <c r="H34" s="28">
        <v>7.58</v>
      </c>
      <c r="I34" s="28">
        <v>0.74</v>
      </c>
      <c r="J34" s="28">
        <v>0.58</v>
      </c>
      <c r="K34" s="28">
        <v>1.98</v>
      </c>
      <c r="L34" s="28">
        <v>53.52</v>
      </c>
      <c r="M34" s="28">
        <v>0.42</v>
      </c>
      <c r="N34" s="28">
        <v>32.04</v>
      </c>
      <c r="O34" s="28">
        <v>81.08</v>
      </c>
      <c r="P34" s="28">
        <v>6.98</v>
      </c>
      <c r="Q34" s="28">
        <v>3.81</v>
      </c>
      <c r="R34" s="28" t="s">
        <v>365</v>
      </c>
    </row>
    <row r="35" spans="1:18" s="4" customFormat="1" ht="15.75" customHeight="1">
      <c r="A35" s="23">
        <v>1997</v>
      </c>
      <c r="B35" s="25">
        <v>24.11</v>
      </c>
      <c r="C35" s="25">
        <v>8.56</v>
      </c>
      <c r="D35" s="25">
        <v>6.57</v>
      </c>
      <c r="E35" s="25">
        <v>2.79</v>
      </c>
      <c r="F35" s="25">
        <v>10.2</v>
      </c>
      <c r="G35" s="25">
        <v>8.84</v>
      </c>
      <c r="H35" s="25">
        <v>8.99</v>
      </c>
      <c r="I35" s="25">
        <v>1.04</v>
      </c>
      <c r="J35" s="25">
        <v>0.89</v>
      </c>
      <c r="K35" s="25">
        <v>2.86</v>
      </c>
      <c r="L35" s="25">
        <v>60.57</v>
      </c>
      <c r="M35" s="25">
        <v>0.36</v>
      </c>
      <c r="N35" s="25">
        <v>35.81</v>
      </c>
      <c r="O35" s="25">
        <v>88.33</v>
      </c>
      <c r="P35" s="25">
        <v>7.61</v>
      </c>
      <c r="Q35" s="25">
        <v>4.04</v>
      </c>
      <c r="R35" s="25" t="s">
        <v>365</v>
      </c>
    </row>
    <row r="36" spans="1:18" s="4" customFormat="1" ht="15.75" customHeight="1">
      <c r="A36" s="23">
        <v>2001</v>
      </c>
      <c r="B36" s="25">
        <v>31.84</v>
      </c>
      <c r="C36" s="25">
        <v>8.98</v>
      </c>
      <c r="D36" s="25">
        <v>5.66</v>
      </c>
      <c r="E36" s="25">
        <v>4.04</v>
      </c>
      <c r="F36" s="25">
        <v>15.94</v>
      </c>
      <c r="G36" s="25">
        <v>11.31</v>
      </c>
      <c r="H36" s="25">
        <v>8.47</v>
      </c>
      <c r="I36" s="25">
        <v>1.15</v>
      </c>
      <c r="J36" s="25">
        <v>0.69</v>
      </c>
      <c r="K36" s="25">
        <v>3.83</v>
      </c>
      <c r="L36" s="25">
        <v>66.94</v>
      </c>
      <c r="M36" s="25">
        <v>0.86</v>
      </c>
      <c r="N36" s="25">
        <v>46.98</v>
      </c>
      <c r="O36" s="25">
        <v>100.34</v>
      </c>
      <c r="P36" s="25">
        <v>6.83</v>
      </c>
      <c r="Q36" s="25">
        <v>5.6</v>
      </c>
      <c r="R36" s="25" t="s">
        <v>365</v>
      </c>
    </row>
    <row r="37" spans="1:18" s="30" customFormat="1" ht="12">
      <c r="A37" s="141" t="s">
        <v>269</v>
      </c>
      <c r="B37" s="142"/>
      <c r="C37" s="142"/>
      <c r="D37" s="142"/>
      <c r="E37" s="142"/>
      <c r="F37" s="142"/>
      <c r="G37" s="142"/>
      <c r="H37" s="142"/>
      <c r="I37" s="142"/>
      <c r="J37" s="142" t="s">
        <v>270</v>
      </c>
      <c r="K37" s="142"/>
      <c r="L37" s="142"/>
      <c r="M37" s="142"/>
      <c r="N37" s="142"/>
      <c r="O37" s="142"/>
      <c r="P37" s="142"/>
      <c r="Q37" s="142"/>
      <c r="R37" s="143"/>
    </row>
    <row r="38" spans="1:18" s="30" customFormat="1" ht="12">
      <c r="A38" s="144" t="s">
        <v>309</v>
      </c>
      <c r="B38" s="145"/>
      <c r="C38" s="145"/>
      <c r="D38" s="145"/>
      <c r="E38" s="145"/>
      <c r="F38" s="145"/>
      <c r="G38" s="145"/>
      <c r="H38" s="145"/>
      <c r="I38" s="145"/>
      <c r="J38" s="145" t="s">
        <v>310</v>
      </c>
      <c r="K38" s="145"/>
      <c r="L38" s="145"/>
      <c r="M38" s="145"/>
      <c r="N38" s="145"/>
      <c r="O38" s="145"/>
      <c r="P38" s="145"/>
      <c r="Q38" s="145"/>
      <c r="R38" s="146"/>
    </row>
    <row r="39" spans="1:18" s="30" customFormat="1" ht="12">
      <c r="A39" s="144" t="s">
        <v>325</v>
      </c>
      <c r="B39" s="145"/>
      <c r="C39" s="145"/>
      <c r="D39" s="145"/>
      <c r="E39" s="145"/>
      <c r="F39" s="145"/>
      <c r="G39" s="145"/>
      <c r="H39" s="145"/>
      <c r="I39" s="145"/>
      <c r="J39" s="147" t="s">
        <v>366</v>
      </c>
      <c r="K39" s="147"/>
      <c r="L39" s="147"/>
      <c r="M39" s="147"/>
      <c r="N39" s="147"/>
      <c r="O39" s="147"/>
      <c r="P39" s="147"/>
      <c r="Q39" s="147"/>
      <c r="R39" s="148"/>
    </row>
    <row r="40" spans="1:18" s="30" customFormat="1" ht="12">
      <c r="A40" s="144" t="s">
        <v>326</v>
      </c>
      <c r="B40" s="145"/>
      <c r="C40" s="145"/>
      <c r="D40" s="145"/>
      <c r="E40" s="145"/>
      <c r="F40" s="145"/>
      <c r="G40" s="145"/>
      <c r="H40" s="145"/>
      <c r="I40" s="145"/>
      <c r="J40" s="147" t="s">
        <v>327</v>
      </c>
      <c r="K40" s="147"/>
      <c r="L40" s="147"/>
      <c r="M40" s="147"/>
      <c r="N40" s="147"/>
      <c r="O40" s="147"/>
      <c r="P40" s="147"/>
      <c r="Q40" s="147"/>
      <c r="R40" s="148"/>
    </row>
    <row r="41" spans="1:18" s="30" customFormat="1" ht="12">
      <c r="A41" s="149" t="s">
        <v>367</v>
      </c>
      <c r="B41" s="147"/>
      <c r="C41" s="147"/>
      <c r="D41" s="147"/>
      <c r="E41" s="147"/>
      <c r="F41" s="147"/>
      <c r="G41" s="147"/>
      <c r="H41" s="147"/>
      <c r="I41" s="147"/>
      <c r="J41" s="147" t="s">
        <v>289</v>
      </c>
      <c r="K41" s="147"/>
      <c r="L41" s="147"/>
      <c r="M41" s="147"/>
      <c r="N41" s="147"/>
      <c r="O41" s="147"/>
      <c r="P41" s="147"/>
      <c r="Q41" s="147"/>
      <c r="R41" s="148"/>
    </row>
    <row r="42" spans="1:18" s="30" customFormat="1" ht="12">
      <c r="A42" s="144" t="s">
        <v>328</v>
      </c>
      <c r="B42" s="145"/>
      <c r="C42" s="145"/>
      <c r="D42" s="145"/>
      <c r="E42" s="145"/>
      <c r="F42" s="145"/>
      <c r="G42" s="145"/>
      <c r="H42" s="145"/>
      <c r="I42" s="145"/>
      <c r="J42" s="147" t="s">
        <v>290</v>
      </c>
      <c r="K42" s="147"/>
      <c r="L42" s="147"/>
      <c r="M42" s="147"/>
      <c r="N42" s="147"/>
      <c r="O42" s="147"/>
      <c r="P42" s="147"/>
      <c r="Q42" s="147"/>
      <c r="R42" s="148"/>
    </row>
    <row r="43" spans="1:18" s="30" customFormat="1" ht="12">
      <c r="A43" s="144" t="s">
        <v>329</v>
      </c>
      <c r="B43" s="145"/>
      <c r="C43" s="145"/>
      <c r="D43" s="145"/>
      <c r="E43" s="145"/>
      <c r="F43" s="145"/>
      <c r="G43" s="145"/>
      <c r="H43" s="145"/>
      <c r="I43" s="145"/>
      <c r="J43" s="147" t="s">
        <v>225</v>
      </c>
      <c r="K43" s="147"/>
      <c r="L43" s="147"/>
      <c r="M43" s="147"/>
      <c r="N43" s="147"/>
      <c r="O43" s="147"/>
      <c r="P43" s="147"/>
      <c r="Q43" s="147"/>
      <c r="R43" s="148"/>
    </row>
    <row r="44" spans="1:18" s="30" customFormat="1" ht="12">
      <c r="A44" s="144"/>
      <c r="B44" s="145"/>
      <c r="C44" s="145"/>
      <c r="D44" s="145"/>
      <c r="E44" s="145"/>
      <c r="F44" s="145"/>
      <c r="G44" s="145"/>
      <c r="H44" s="145"/>
      <c r="I44" s="145"/>
      <c r="J44" s="147" t="s">
        <v>226</v>
      </c>
      <c r="K44" s="147"/>
      <c r="L44" s="147"/>
      <c r="M44" s="147"/>
      <c r="N44" s="147"/>
      <c r="O44" s="147"/>
      <c r="P44" s="147"/>
      <c r="Q44" s="147"/>
      <c r="R44" s="148"/>
    </row>
    <row r="45" spans="1:18" s="30" customFormat="1" ht="12">
      <c r="A45" s="150" t="s">
        <v>347</v>
      </c>
      <c r="B45" s="151"/>
      <c r="C45" s="151"/>
      <c r="D45" s="151"/>
      <c r="E45" s="151"/>
      <c r="F45" s="151"/>
      <c r="G45" s="151"/>
      <c r="H45" s="151"/>
      <c r="I45" s="151"/>
      <c r="J45" s="152"/>
      <c r="K45" s="152"/>
      <c r="L45" s="152"/>
      <c r="M45" s="152"/>
      <c r="N45" s="152"/>
      <c r="O45" s="152"/>
      <c r="P45" s="152"/>
      <c r="Q45" s="152"/>
      <c r="R45" s="122"/>
    </row>
    <row r="46" s="30" customFormat="1" ht="12"/>
    <row r="47" s="30" customFormat="1" ht="12"/>
    <row r="48" spans="1:2" s="30" customFormat="1" ht="22.5" customHeight="1">
      <c r="A48" s="85"/>
      <c r="B48" s="80" t="s">
        <v>401</v>
      </c>
    </row>
    <row r="49" spans="1:2" ht="21" customHeight="1">
      <c r="A49" s="47"/>
      <c r="B49" s="80" t="s">
        <v>400</v>
      </c>
    </row>
  </sheetData>
  <mergeCells count="32">
    <mergeCell ref="A43:I44"/>
    <mergeCell ref="J43:R43"/>
    <mergeCell ref="J44:R44"/>
    <mergeCell ref="A45:I45"/>
    <mergeCell ref="J45:R45"/>
    <mergeCell ref="A41:I41"/>
    <mergeCell ref="J41:R41"/>
    <mergeCell ref="A42:I42"/>
    <mergeCell ref="J42:R42"/>
    <mergeCell ref="A39:I39"/>
    <mergeCell ref="J39:R39"/>
    <mergeCell ref="A40:I40"/>
    <mergeCell ref="J40:R40"/>
    <mergeCell ref="B25:R25"/>
    <mergeCell ref="A37:I37"/>
    <mergeCell ref="J37:R37"/>
    <mergeCell ref="A38:I38"/>
    <mergeCell ref="J38:R38"/>
    <mergeCell ref="M5:M6"/>
    <mergeCell ref="Q5:Q6"/>
    <mergeCell ref="R5:R6"/>
    <mergeCell ref="B7:R7"/>
    <mergeCell ref="A1:R1"/>
    <mergeCell ref="A2:R2"/>
    <mergeCell ref="A3:A6"/>
    <mergeCell ref="B3:E4"/>
    <mergeCell ref="G3:J4"/>
    <mergeCell ref="K3:M4"/>
    <mergeCell ref="N3:R4"/>
    <mergeCell ref="E5:E6"/>
    <mergeCell ref="F5:F6"/>
    <mergeCell ref="J5:J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65"/>
  <sheetViews>
    <sheetView zoomScale="125" zoomScaleNormal="125" workbookViewId="0" topLeftCell="A1">
      <selection activeCell="B45" sqref="B45:B46"/>
    </sheetView>
  </sheetViews>
  <sheetFormatPr defaultColWidth="11.421875" defaultRowHeight="12.75"/>
  <cols>
    <col min="1" max="1" width="46.00390625" style="30" customWidth="1"/>
    <col min="2" max="2" width="15.140625" style="30" customWidth="1"/>
    <col min="3" max="3" width="8.7109375" style="30" customWidth="1"/>
    <col min="4" max="4" width="9.00390625" style="30" customWidth="1"/>
    <col min="5" max="5" width="9.7109375" style="30" customWidth="1"/>
    <col min="6" max="6" width="11.7109375" style="30" customWidth="1"/>
    <col min="7" max="7" width="10.00390625" style="30" customWidth="1"/>
    <col min="8" max="8" width="9.421875" style="30" customWidth="1"/>
    <col min="9" max="16384" width="10.8515625" style="30" customWidth="1"/>
  </cols>
  <sheetData>
    <row r="1" spans="1:9" s="4" customFormat="1" ht="21" customHeight="1">
      <c r="A1" s="153" t="s">
        <v>407</v>
      </c>
      <c r="B1" s="154"/>
      <c r="C1" s="154"/>
      <c r="D1" s="154"/>
      <c r="E1" s="154"/>
      <c r="F1" s="154"/>
      <c r="G1" s="154"/>
      <c r="H1" s="155"/>
      <c r="I1" s="4" t="s">
        <v>370</v>
      </c>
    </row>
    <row r="2" spans="1:8" s="4" customFormat="1" ht="24">
      <c r="A2" s="129" t="s">
        <v>408</v>
      </c>
      <c r="B2" s="17" t="s">
        <v>371</v>
      </c>
      <c r="C2" s="17" t="s">
        <v>409</v>
      </c>
      <c r="D2" s="17" t="s">
        <v>410</v>
      </c>
      <c r="E2" s="17" t="s">
        <v>372</v>
      </c>
      <c r="F2" s="17" t="s">
        <v>411</v>
      </c>
      <c r="G2" s="17" t="s">
        <v>382</v>
      </c>
      <c r="H2" s="129" t="s">
        <v>383</v>
      </c>
    </row>
    <row r="3" spans="1:8" s="4" customFormat="1" ht="16.5" customHeight="1">
      <c r="A3" s="131"/>
      <c r="B3" s="19" t="s">
        <v>283</v>
      </c>
      <c r="C3" s="156" t="s">
        <v>286</v>
      </c>
      <c r="D3" s="157"/>
      <c r="E3" s="158"/>
      <c r="F3" s="19" t="s">
        <v>284</v>
      </c>
      <c r="G3" s="19" t="s">
        <v>285</v>
      </c>
      <c r="H3" s="131"/>
    </row>
    <row r="4" spans="1:8" s="4" customFormat="1" ht="13.5" customHeight="1">
      <c r="A4" s="20" t="s">
        <v>384</v>
      </c>
      <c r="B4" s="21">
        <v>3540</v>
      </c>
      <c r="C4" s="22">
        <v>20</v>
      </c>
      <c r="D4" s="22">
        <v>6</v>
      </c>
      <c r="E4" s="22">
        <v>2</v>
      </c>
      <c r="F4" s="21">
        <v>2105</v>
      </c>
      <c r="G4" s="22">
        <v>35</v>
      </c>
      <c r="H4" s="22" t="s">
        <v>412</v>
      </c>
    </row>
    <row r="5" spans="1:8" s="4" customFormat="1" ht="13.5" customHeight="1">
      <c r="A5" s="23" t="s">
        <v>413</v>
      </c>
      <c r="B5" s="24">
        <v>2496</v>
      </c>
      <c r="C5" s="25">
        <v>12</v>
      </c>
      <c r="D5" s="25">
        <v>4</v>
      </c>
      <c r="E5" s="25">
        <v>2</v>
      </c>
      <c r="F5" s="24">
        <v>1271</v>
      </c>
      <c r="G5" s="25">
        <v>11</v>
      </c>
      <c r="H5" s="25" t="s">
        <v>412</v>
      </c>
    </row>
    <row r="6" spans="1:8" s="4" customFormat="1" ht="13.5" customHeight="1">
      <c r="A6" s="26" t="s">
        <v>385</v>
      </c>
      <c r="B6" s="27">
        <v>1043</v>
      </c>
      <c r="C6" s="28">
        <v>8</v>
      </c>
      <c r="D6" s="28">
        <v>2</v>
      </c>
      <c r="E6" s="28" t="s">
        <v>414</v>
      </c>
      <c r="F6" s="28">
        <v>834</v>
      </c>
      <c r="G6" s="28">
        <v>23</v>
      </c>
      <c r="H6" s="28" t="s">
        <v>412</v>
      </c>
    </row>
    <row r="7" spans="1:8" ht="13.5" customHeight="1">
      <c r="A7" s="29"/>
      <c r="B7" s="159"/>
      <c r="C7" s="159"/>
      <c r="D7" s="159"/>
      <c r="E7" s="159"/>
      <c r="F7" s="159"/>
      <c r="G7" s="159"/>
      <c r="H7" s="159"/>
    </row>
    <row r="8" spans="1:8" ht="13.5" customHeight="1">
      <c r="A8" s="31" t="s">
        <v>415</v>
      </c>
      <c r="B8" s="160"/>
      <c r="C8" s="160"/>
      <c r="D8" s="160"/>
      <c r="E8" s="160"/>
      <c r="F8" s="160"/>
      <c r="G8" s="160"/>
      <c r="H8" s="160"/>
    </row>
    <row r="9" spans="1:8" s="4" customFormat="1" ht="13.5" customHeight="1">
      <c r="A9" s="20" t="s">
        <v>416</v>
      </c>
      <c r="B9" s="21">
        <v>650100</v>
      </c>
      <c r="C9" s="22">
        <v>10</v>
      </c>
      <c r="D9" s="22">
        <v>7</v>
      </c>
      <c r="E9" s="22">
        <v>16</v>
      </c>
      <c r="F9" s="21">
        <v>2878</v>
      </c>
      <c r="G9" s="22">
        <v>17</v>
      </c>
      <c r="H9" s="22" t="s">
        <v>412</v>
      </c>
    </row>
    <row r="10" spans="1:8" s="4" customFormat="1" ht="13.5" customHeight="1">
      <c r="A10" s="23" t="s">
        <v>417</v>
      </c>
      <c r="B10" s="24">
        <v>100541</v>
      </c>
      <c r="C10" s="25">
        <v>9</v>
      </c>
      <c r="D10" s="25">
        <v>4</v>
      </c>
      <c r="E10" s="25">
        <v>15</v>
      </c>
      <c r="F10" s="24">
        <v>2670</v>
      </c>
      <c r="G10" s="25">
        <v>17</v>
      </c>
      <c r="H10" s="25" t="s">
        <v>412</v>
      </c>
    </row>
    <row r="11" spans="1:8" s="4" customFormat="1" ht="13.5" customHeight="1">
      <c r="A11" s="26" t="s">
        <v>418</v>
      </c>
      <c r="B11" s="27">
        <v>56723</v>
      </c>
      <c r="C11" s="28" t="s">
        <v>414</v>
      </c>
      <c r="D11" s="28" t="s">
        <v>414</v>
      </c>
      <c r="E11" s="28" t="s">
        <v>414</v>
      </c>
      <c r="F11" s="28">
        <v>44</v>
      </c>
      <c r="G11" s="28" t="s">
        <v>414</v>
      </c>
      <c r="H11" s="28" t="s">
        <v>412</v>
      </c>
    </row>
    <row r="12" spans="1:8" s="4" customFormat="1" ht="13.5" customHeight="1">
      <c r="A12" s="23" t="s">
        <v>419</v>
      </c>
      <c r="B12" s="24">
        <v>417998</v>
      </c>
      <c r="C12" s="25" t="s">
        <v>414</v>
      </c>
      <c r="D12" s="25">
        <v>3</v>
      </c>
      <c r="E12" s="25">
        <v>1</v>
      </c>
      <c r="F12" s="25">
        <v>106</v>
      </c>
      <c r="G12" s="25" t="s">
        <v>414</v>
      </c>
      <c r="H12" s="25" t="s">
        <v>412</v>
      </c>
    </row>
    <row r="13" spans="1:8" s="4" customFormat="1" ht="13.5" customHeight="1">
      <c r="A13" s="23" t="s">
        <v>315</v>
      </c>
      <c r="B13" s="24">
        <v>71045</v>
      </c>
      <c r="C13" s="25" t="s">
        <v>412</v>
      </c>
      <c r="D13" s="25" t="s">
        <v>412</v>
      </c>
      <c r="E13" s="25" t="s">
        <v>412</v>
      </c>
      <c r="F13" s="25" t="s">
        <v>412</v>
      </c>
      <c r="G13" s="25" t="s">
        <v>412</v>
      </c>
      <c r="H13" s="25" t="s">
        <v>412</v>
      </c>
    </row>
    <row r="14" spans="1:8" s="4" customFormat="1" ht="13.5" customHeight="1">
      <c r="A14" s="26" t="s">
        <v>316</v>
      </c>
      <c r="B14" s="27">
        <v>3793</v>
      </c>
      <c r="C14" s="28" t="s">
        <v>414</v>
      </c>
      <c r="D14" s="28" t="s">
        <v>414</v>
      </c>
      <c r="E14" s="28" t="s">
        <v>414</v>
      </c>
      <c r="F14" s="28">
        <v>58</v>
      </c>
      <c r="G14" s="28" t="s">
        <v>414</v>
      </c>
      <c r="H14" s="28" t="s">
        <v>412</v>
      </c>
    </row>
    <row r="15" spans="1:8" s="4" customFormat="1" ht="13.5" customHeight="1">
      <c r="A15" s="20" t="s">
        <v>317</v>
      </c>
      <c r="B15" s="21">
        <v>150530</v>
      </c>
      <c r="C15" s="22">
        <v>1</v>
      </c>
      <c r="D15" s="22">
        <v>9</v>
      </c>
      <c r="E15" s="22">
        <v>6</v>
      </c>
      <c r="F15" s="22">
        <v>500</v>
      </c>
      <c r="G15" s="22">
        <v>1</v>
      </c>
      <c r="H15" s="22" t="s">
        <v>412</v>
      </c>
    </row>
    <row r="16" spans="1:8" s="4" customFormat="1" ht="13.5" customHeight="1">
      <c r="A16" s="23" t="s">
        <v>386</v>
      </c>
      <c r="B16" s="24">
        <v>76840</v>
      </c>
      <c r="C16" s="25">
        <v>1</v>
      </c>
      <c r="D16" s="25">
        <v>1</v>
      </c>
      <c r="E16" s="25">
        <v>1</v>
      </c>
      <c r="F16" s="25">
        <v>406</v>
      </c>
      <c r="G16" s="25" t="s">
        <v>414</v>
      </c>
      <c r="H16" s="25" t="s">
        <v>412</v>
      </c>
    </row>
    <row r="17" spans="1:8" s="4" customFormat="1" ht="13.5" customHeight="1">
      <c r="A17" s="26" t="s">
        <v>318</v>
      </c>
      <c r="B17" s="27">
        <v>57460</v>
      </c>
      <c r="C17" s="28" t="s">
        <v>412</v>
      </c>
      <c r="D17" s="28" t="s">
        <v>412</v>
      </c>
      <c r="E17" s="28" t="s">
        <v>412</v>
      </c>
      <c r="F17" s="28" t="s">
        <v>412</v>
      </c>
      <c r="G17" s="28" t="s">
        <v>412</v>
      </c>
      <c r="H17" s="28" t="s">
        <v>412</v>
      </c>
    </row>
    <row r="18" spans="1:8" s="4" customFormat="1" ht="13.5" customHeight="1">
      <c r="A18" s="23" t="s">
        <v>319</v>
      </c>
      <c r="B18" s="24">
        <v>14087</v>
      </c>
      <c r="C18" s="25" t="s">
        <v>414</v>
      </c>
      <c r="D18" s="25" t="s">
        <v>414</v>
      </c>
      <c r="E18" s="25" t="s">
        <v>414</v>
      </c>
      <c r="F18" s="25">
        <v>29</v>
      </c>
      <c r="G18" s="25" t="s">
        <v>414</v>
      </c>
      <c r="H18" s="25" t="s">
        <v>412</v>
      </c>
    </row>
    <row r="19" spans="1:8" s="4" customFormat="1" ht="13.5" customHeight="1">
      <c r="A19" s="23" t="s">
        <v>303</v>
      </c>
      <c r="B19" s="24">
        <v>1212</v>
      </c>
      <c r="C19" s="25" t="s">
        <v>412</v>
      </c>
      <c r="D19" s="25">
        <v>6</v>
      </c>
      <c r="E19" s="25">
        <v>5</v>
      </c>
      <c r="F19" s="25">
        <v>2</v>
      </c>
      <c r="G19" s="25" t="s">
        <v>412</v>
      </c>
      <c r="H19" s="25" t="s">
        <v>412</v>
      </c>
    </row>
    <row r="20" spans="1:8" s="4" customFormat="1" ht="13.5" customHeight="1">
      <c r="A20" s="26" t="s">
        <v>304</v>
      </c>
      <c r="B20" s="28" t="s">
        <v>412</v>
      </c>
      <c r="C20" s="28" t="s">
        <v>414</v>
      </c>
      <c r="D20" s="28" t="s">
        <v>305</v>
      </c>
      <c r="E20" s="28" t="s">
        <v>414</v>
      </c>
      <c r="F20" s="28">
        <v>54</v>
      </c>
      <c r="G20" s="28">
        <v>1</v>
      </c>
      <c r="H20" s="28" t="s">
        <v>412</v>
      </c>
    </row>
    <row r="21" spans="1:8" s="4" customFormat="1" ht="13.5" customHeight="1">
      <c r="A21" s="23" t="s">
        <v>306</v>
      </c>
      <c r="B21" s="25">
        <v>931</v>
      </c>
      <c r="C21" s="25" t="s">
        <v>414</v>
      </c>
      <c r="D21" s="25" t="s">
        <v>305</v>
      </c>
      <c r="E21" s="25" t="s">
        <v>414</v>
      </c>
      <c r="F21" s="25">
        <v>10</v>
      </c>
      <c r="G21" s="25">
        <v>0</v>
      </c>
      <c r="H21" s="25" t="s">
        <v>412</v>
      </c>
    </row>
    <row r="22" spans="1:8" s="4" customFormat="1" ht="13.5" customHeight="1">
      <c r="A22" s="29"/>
      <c r="B22" s="161">
        <v>28087</v>
      </c>
      <c r="C22" s="163">
        <v>3</v>
      </c>
      <c r="D22" s="163">
        <v>2</v>
      </c>
      <c r="E22" s="163">
        <v>2</v>
      </c>
      <c r="F22" s="163">
        <v>157</v>
      </c>
      <c r="G22" s="163" t="s">
        <v>414</v>
      </c>
      <c r="H22" s="163" t="s">
        <v>412</v>
      </c>
    </row>
    <row r="23" spans="1:8" s="4" customFormat="1" ht="13.5" customHeight="1">
      <c r="A23" s="31" t="s">
        <v>307</v>
      </c>
      <c r="B23" s="162"/>
      <c r="C23" s="164"/>
      <c r="D23" s="164"/>
      <c r="E23" s="164"/>
      <c r="F23" s="164"/>
      <c r="G23" s="164"/>
      <c r="H23" s="164"/>
    </row>
    <row r="24" spans="1:8" s="4" customFormat="1" ht="13.5" customHeight="1">
      <c r="A24" s="29"/>
      <c r="B24" s="161">
        <v>832257</v>
      </c>
      <c r="C24" s="163">
        <v>33</v>
      </c>
      <c r="D24" s="163">
        <v>24</v>
      </c>
      <c r="E24" s="163">
        <v>26</v>
      </c>
      <c r="F24" s="161">
        <v>5641</v>
      </c>
      <c r="G24" s="163">
        <v>53</v>
      </c>
      <c r="H24" s="163" t="s">
        <v>412</v>
      </c>
    </row>
    <row r="25" spans="1:8" s="4" customFormat="1" ht="13.5" customHeight="1" thickBot="1">
      <c r="A25" s="31" t="s">
        <v>396</v>
      </c>
      <c r="B25" s="162"/>
      <c r="C25" s="164"/>
      <c r="D25" s="164"/>
      <c r="E25" s="164"/>
      <c r="F25" s="162"/>
      <c r="G25" s="164"/>
      <c r="H25" s="164"/>
    </row>
    <row r="26" spans="1:13" ht="13.5" customHeight="1">
      <c r="A26" s="14"/>
      <c r="B26" s="165" t="s">
        <v>308</v>
      </c>
      <c r="C26" s="166"/>
      <c r="D26" s="166"/>
      <c r="E26" s="166"/>
      <c r="F26" s="166"/>
      <c r="G26" s="166"/>
      <c r="H26" s="166"/>
      <c r="I26" s="49" t="s">
        <v>287</v>
      </c>
      <c r="K26" s="55" t="s">
        <v>354</v>
      </c>
      <c r="L26" s="56"/>
      <c r="M26" s="57"/>
    </row>
    <row r="27" spans="1:13" s="4" customFormat="1" ht="13.5" customHeight="1">
      <c r="A27" s="20" t="s">
        <v>384</v>
      </c>
      <c r="B27" s="22">
        <v>12</v>
      </c>
      <c r="C27" s="22">
        <v>127</v>
      </c>
      <c r="D27" s="22">
        <v>35</v>
      </c>
      <c r="E27" s="22">
        <v>8</v>
      </c>
      <c r="F27" s="21">
        <v>2162</v>
      </c>
      <c r="G27" s="22">
        <v>776</v>
      </c>
      <c r="H27" s="36">
        <v>3120</v>
      </c>
      <c r="I27" s="50" t="s">
        <v>288</v>
      </c>
      <c r="K27" s="58" t="s">
        <v>355</v>
      </c>
      <c r="L27" s="59" t="s">
        <v>356</v>
      </c>
      <c r="M27" s="60" t="s">
        <v>357</v>
      </c>
    </row>
    <row r="28" spans="1:13" s="4" customFormat="1" ht="13.5" customHeight="1" thickBot="1">
      <c r="A28" s="23" t="s">
        <v>413</v>
      </c>
      <c r="B28" s="25">
        <v>9</v>
      </c>
      <c r="C28" s="25">
        <v>76</v>
      </c>
      <c r="D28" s="25">
        <v>25</v>
      </c>
      <c r="E28" s="25">
        <v>8</v>
      </c>
      <c r="F28" s="24">
        <v>1306</v>
      </c>
      <c r="G28" s="25">
        <v>255</v>
      </c>
      <c r="H28" s="32">
        <v>1679</v>
      </c>
      <c r="I28" s="51">
        <v>0.75</v>
      </c>
      <c r="J28" s="33"/>
      <c r="K28" s="61">
        <f>(SUMPRODUCT(C28:C46,$I28:$I46)+SUMPRODUCT(D28:D46,$I28:$I46)+SUMPRODUCT(E28:E46,$I28:$I46))/SUM(C47:E48)</f>
        <v>0.5904255319148937</v>
      </c>
      <c r="L28" s="62">
        <f>SUMPRODUCT(F28:F46,$I28:$I46)/F47</f>
        <v>0.6050043140638481</v>
      </c>
      <c r="M28" s="63">
        <f>SUMPRODUCT(G28:G46,$I28:$I46)/G47</f>
        <v>0.5645639288738358</v>
      </c>
    </row>
    <row r="29" spans="1:10" s="4" customFormat="1" ht="13.5" customHeight="1">
      <c r="A29" s="26" t="s">
        <v>387</v>
      </c>
      <c r="B29" s="28">
        <v>4</v>
      </c>
      <c r="C29" s="28">
        <v>51</v>
      </c>
      <c r="D29" s="28">
        <v>10</v>
      </c>
      <c r="E29" s="25">
        <v>0</v>
      </c>
      <c r="F29" s="28">
        <v>857</v>
      </c>
      <c r="G29" s="28">
        <v>521</v>
      </c>
      <c r="H29" s="34">
        <v>1443</v>
      </c>
      <c r="I29" s="51">
        <v>0.5</v>
      </c>
      <c r="J29" s="33"/>
    </row>
    <row r="30" spans="1:10" ht="13.5" customHeight="1">
      <c r="A30" s="29"/>
      <c r="B30" s="159"/>
      <c r="C30" s="159"/>
      <c r="D30" s="159"/>
      <c r="E30" s="159"/>
      <c r="F30" s="159"/>
      <c r="G30" s="159"/>
      <c r="H30" s="167"/>
      <c r="I30" s="52"/>
      <c r="J30" s="35"/>
    </row>
    <row r="31" spans="1:10" ht="13.5" customHeight="1">
      <c r="A31" s="31" t="s">
        <v>415</v>
      </c>
      <c r="B31" s="160"/>
      <c r="C31" s="160"/>
      <c r="D31" s="160"/>
      <c r="E31" s="160"/>
      <c r="F31" s="160"/>
      <c r="G31" s="160"/>
      <c r="H31" s="168"/>
      <c r="I31" s="52"/>
      <c r="J31" s="35"/>
    </row>
    <row r="32" spans="1:10" s="4" customFormat="1" ht="13.5" customHeight="1">
      <c r="A32" s="20" t="s">
        <v>416</v>
      </c>
      <c r="B32" s="21">
        <v>2218</v>
      </c>
      <c r="C32" s="22"/>
      <c r="D32" s="22"/>
      <c r="E32" s="22"/>
      <c r="F32" s="21"/>
      <c r="G32" s="22"/>
      <c r="H32" s="36">
        <v>5722</v>
      </c>
      <c r="I32" s="53"/>
      <c r="J32" s="33"/>
    </row>
    <row r="33" spans="1:10" s="4" customFormat="1" ht="13.5" customHeight="1">
      <c r="A33" s="23" t="s">
        <v>417</v>
      </c>
      <c r="B33" s="25">
        <v>343</v>
      </c>
      <c r="C33" s="25">
        <v>58</v>
      </c>
      <c r="D33" s="25">
        <v>24</v>
      </c>
      <c r="E33" s="25">
        <v>60</v>
      </c>
      <c r="F33" s="24">
        <v>2742</v>
      </c>
      <c r="G33" s="25">
        <v>368</v>
      </c>
      <c r="H33" s="32">
        <v>3595</v>
      </c>
      <c r="I33" s="51">
        <v>0.5</v>
      </c>
      <c r="J33" s="33"/>
    </row>
    <row r="34" spans="1:10" s="4" customFormat="1" ht="13.5" customHeight="1">
      <c r="A34" s="26" t="s">
        <v>418</v>
      </c>
      <c r="B34" s="28">
        <v>194</v>
      </c>
      <c r="C34" s="28">
        <v>0</v>
      </c>
      <c r="D34" s="28">
        <v>2</v>
      </c>
      <c r="E34" s="28">
        <v>0</v>
      </c>
      <c r="F34" s="28">
        <v>45</v>
      </c>
      <c r="G34" s="28">
        <v>0</v>
      </c>
      <c r="H34" s="37">
        <v>241</v>
      </c>
      <c r="I34" s="51">
        <v>1</v>
      </c>
      <c r="J34" s="33"/>
    </row>
    <row r="35" spans="1:10" s="4" customFormat="1" ht="13.5" customHeight="1">
      <c r="A35" s="23" t="s">
        <v>419</v>
      </c>
      <c r="B35" s="24">
        <v>1426</v>
      </c>
      <c r="C35" s="25">
        <v>2</v>
      </c>
      <c r="D35" s="25">
        <v>16</v>
      </c>
      <c r="E35" s="25">
        <v>4</v>
      </c>
      <c r="F35" s="25">
        <v>109</v>
      </c>
      <c r="G35" s="25">
        <v>5</v>
      </c>
      <c r="H35" s="32">
        <v>1562</v>
      </c>
      <c r="I35" s="51">
        <v>1</v>
      </c>
      <c r="J35" s="33"/>
    </row>
    <row r="36" spans="1:10" s="4" customFormat="1" ht="13.5" customHeight="1">
      <c r="A36" s="23" t="s">
        <v>315</v>
      </c>
      <c r="B36" s="25">
        <v>242</v>
      </c>
      <c r="C36" s="25">
        <v>0</v>
      </c>
      <c r="D36" s="25">
        <v>0</v>
      </c>
      <c r="E36" s="25">
        <v>0</v>
      </c>
      <c r="F36" s="25">
        <v>0</v>
      </c>
      <c r="G36" s="25">
        <v>0</v>
      </c>
      <c r="H36" s="38">
        <v>242</v>
      </c>
      <c r="I36" s="53">
        <v>1</v>
      </c>
      <c r="J36" s="33"/>
    </row>
    <row r="37" spans="1:10" s="4" customFormat="1" ht="13.5" customHeight="1">
      <c r="A37" s="26" t="s">
        <v>316</v>
      </c>
      <c r="B37" s="28">
        <v>13</v>
      </c>
      <c r="C37" s="28">
        <v>0</v>
      </c>
      <c r="D37" s="28">
        <v>1</v>
      </c>
      <c r="E37" s="28">
        <v>0</v>
      </c>
      <c r="F37" s="28">
        <v>60</v>
      </c>
      <c r="G37" s="28">
        <v>7</v>
      </c>
      <c r="H37" s="37">
        <v>81</v>
      </c>
      <c r="I37" s="51">
        <v>1</v>
      </c>
      <c r="J37" s="33"/>
    </row>
    <row r="38" spans="1:10" s="4" customFormat="1" ht="13.5" customHeight="1">
      <c r="A38" s="20" t="s">
        <v>317</v>
      </c>
      <c r="B38" s="22">
        <v>514</v>
      </c>
      <c r="C38" s="22"/>
      <c r="D38" s="22"/>
      <c r="E38" s="22"/>
      <c r="F38" s="22"/>
      <c r="G38" s="22"/>
      <c r="H38" s="36">
        <v>1124</v>
      </c>
      <c r="I38" s="53"/>
      <c r="J38" s="33"/>
    </row>
    <row r="39" spans="1:10" s="4" customFormat="1" ht="13.5" customHeight="1">
      <c r="A39" s="23" t="s">
        <v>386</v>
      </c>
      <c r="B39" s="25">
        <v>262</v>
      </c>
      <c r="C39" s="25">
        <v>3</v>
      </c>
      <c r="D39" s="25">
        <v>5</v>
      </c>
      <c r="E39" s="25">
        <v>5</v>
      </c>
      <c r="F39" s="25">
        <v>417</v>
      </c>
      <c r="G39" s="25">
        <v>5</v>
      </c>
      <c r="H39" s="38">
        <v>697</v>
      </c>
      <c r="I39" s="51">
        <v>1</v>
      </c>
      <c r="J39" s="33"/>
    </row>
    <row r="40" spans="1:10" s="4" customFormat="1" ht="13.5" customHeight="1">
      <c r="A40" s="26" t="s">
        <v>318</v>
      </c>
      <c r="B40" s="28">
        <v>196</v>
      </c>
      <c r="C40" s="28">
        <v>0</v>
      </c>
      <c r="D40" s="28">
        <v>0</v>
      </c>
      <c r="E40" s="28">
        <v>0</v>
      </c>
      <c r="F40" s="28">
        <v>0</v>
      </c>
      <c r="G40" s="28">
        <v>0</v>
      </c>
      <c r="H40" s="37">
        <v>196</v>
      </c>
      <c r="I40" s="53">
        <v>1</v>
      </c>
      <c r="J40" s="33"/>
    </row>
    <row r="41" spans="1:10" s="4" customFormat="1" ht="13.5" customHeight="1">
      <c r="A41" s="23" t="s">
        <v>319</v>
      </c>
      <c r="B41" s="25">
        <v>48</v>
      </c>
      <c r="C41" s="25">
        <v>0</v>
      </c>
      <c r="D41" s="25">
        <v>1</v>
      </c>
      <c r="E41" s="25">
        <v>0</v>
      </c>
      <c r="F41" s="25">
        <v>30</v>
      </c>
      <c r="G41" s="25">
        <v>0</v>
      </c>
      <c r="H41" s="38">
        <v>79</v>
      </c>
      <c r="I41" s="51">
        <v>1</v>
      </c>
      <c r="J41" s="33"/>
    </row>
    <row r="42" spans="1:10" s="4" customFormat="1" ht="13.5" customHeight="1">
      <c r="A42" s="23" t="s">
        <v>303</v>
      </c>
      <c r="B42" s="25">
        <v>4</v>
      </c>
      <c r="C42" s="25">
        <v>0</v>
      </c>
      <c r="D42" s="25">
        <v>35</v>
      </c>
      <c r="E42" s="25">
        <v>18</v>
      </c>
      <c r="F42" s="25">
        <v>2</v>
      </c>
      <c r="G42" s="25">
        <v>0</v>
      </c>
      <c r="H42" s="38">
        <v>59</v>
      </c>
      <c r="I42" s="51">
        <v>0.5</v>
      </c>
      <c r="J42" s="33"/>
    </row>
    <row r="43" spans="1:10" s="4" customFormat="1" ht="13.5" customHeight="1">
      <c r="A43" s="26" t="s">
        <v>304</v>
      </c>
      <c r="B43" s="28" t="s">
        <v>412</v>
      </c>
      <c r="C43" s="28">
        <v>1</v>
      </c>
      <c r="D43" s="28">
        <v>0</v>
      </c>
      <c r="E43" s="28">
        <v>0</v>
      </c>
      <c r="F43" s="28">
        <v>55</v>
      </c>
      <c r="G43" s="28">
        <v>14</v>
      </c>
      <c r="H43" s="37">
        <v>70</v>
      </c>
      <c r="I43" s="51">
        <v>1</v>
      </c>
      <c r="J43" s="33"/>
    </row>
    <row r="44" spans="1:10" s="4" customFormat="1" ht="13.5" customHeight="1">
      <c r="A44" s="23" t="s">
        <v>306</v>
      </c>
      <c r="B44" s="25">
        <v>3</v>
      </c>
      <c r="C44" s="25">
        <v>0</v>
      </c>
      <c r="D44" s="25">
        <v>0</v>
      </c>
      <c r="E44" s="25">
        <v>0</v>
      </c>
      <c r="F44" s="25">
        <v>10</v>
      </c>
      <c r="G44" s="25">
        <v>0</v>
      </c>
      <c r="H44" s="38">
        <v>13</v>
      </c>
      <c r="I44" s="51">
        <v>1</v>
      </c>
      <c r="J44" s="33"/>
    </row>
    <row r="45" spans="1:10" s="4" customFormat="1" ht="13.5" customHeight="1">
      <c r="A45" s="29"/>
      <c r="B45" s="163">
        <v>96</v>
      </c>
      <c r="C45" s="163">
        <v>0</v>
      </c>
      <c r="D45" s="163">
        <v>12</v>
      </c>
      <c r="E45" s="163">
        <v>6</v>
      </c>
      <c r="F45" s="163">
        <v>162</v>
      </c>
      <c r="G45" s="163">
        <v>6</v>
      </c>
      <c r="H45" s="169">
        <v>299</v>
      </c>
      <c r="I45" s="51"/>
      <c r="J45" s="33"/>
    </row>
    <row r="46" spans="1:10" s="4" customFormat="1" ht="13.5" customHeight="1" thickBot="1">
      <c r="A46" s="31" t="s">
        <v>307</v>
      </c>
      <c r="B46" s="164"/>
      <c r="C46" s="164"/>
      <c r="D46" s="164"/>
      <c r="E46" s="164"/>
      <c r="F46" s="164"/>
      <c r="G46" s="164"/>
      <c r="H46" s="170"/>
      <c r="I46" s="54">
        <v>1</v>
      </c>
      <c r="J46" s="33"/>
    </row>
    <row r="47" spans="1:10" s="4" customFormat="1" ht="13.5" customHeight="1">
      <c r="A47" s="29"/>
      <c r="B47" s="161">
        <v>2840</v>
      </c>
      <c r="C47" s="163">
        <f>SUM(C28:C46)</f>
        <v>191</v>
      </c>
      <c r="D47" s="163">
        <f>SUM(D28:D46)</f>
        <v>131</v>
      </c>
      <c r="E47" s="163">
        <f>SUM(E28:E46)</f>
        <v>101</v>
      </c>
      <c r="F47" s="163">
        <f>SUM(F28:F46)</f>
        <v>5795</v>
      </c>
      <c r="G47" s="163">
        <f>SUM(G28:G46)</f>
        <v>1181</v>
      </c>
      <c r="H47" s="171">
        <v>10268</v>
      </c>
      <c r="I47" s="33"/>
      <c r="J47" s="33"/>
    </row>
    <row r="48" spans="1:10" s="4" customFormat="1" ht="13.5" customHeight="1">
      <c r="A48" s="31" t="s">
        <v>396</v>
      </c>
      <c r="B48" s="162"/>
      <c r="C48" s="164"/>
      <c r="D48" s="164"/>
      <c r="E48" s="164"/>
      <c r="F48" s="164"/>
      <c r="G48" s="164"/>
      <c r="H48" s="172"/>
      <c r="I48" s="33"/>
      <c r="J48" s="33"/>
    </row>
    <row r="49" spans="1:8" ht="12">
      <c r="A49" s="141" t="s">
        <v>388</v>
      </c>
      <c r="B49" s="142"/>
      <c r="C49" s="142"/>
      <c r="D49" s="142"/>
      <c r="E49" s="142" t="s">
        <v>274</v>
      </c>
      <c r="F49" s="142"/>
      <c r="G49" s="142"/>
      <c r="H49" s="143"/>
    </row>
    <row r="50" spans="1:8" ht="12">
      <c r="A50" s="149" t="s">
        <v>321</v>
      </c>
      <c r="B50" s="147"/>
      <c r="C50" s="147"/>
      <c r="D50" s="147"/>
      <c r="E50" s="145"/>
      <c r="F50" s="145"/>
      <c r="G50" s="145"/>
      <c r="H50" s="146"/>
    </row>
    <row r="51" spans="1:8" ht="12">
      <c r="A51" s="149" t="s">
        <v>322</v>
      </c>
      <c r="B51" s="147"/>
      <c r="C51" s="147"/>
      <c r="D51" s="147"/>
      <c r="E51" s="145"/>
      <c r="F51" s="145"/>
      <c r="G51" s="145"/>
      <c r="H51" s="146"/>
    </row>
    <row r="52" spans="1:8" ht="12">
      <c r="A52" s="144" t="s">
        <v>275</v>
      </c>
      <c r="B52" s="145"/>
      <c r="C52" s="145"/>
      <c r="D52" s="145"/>
      <c r="E52" s="147" t="s">
        <v>323</v>
      </c>
      <c r="F52" s="147"/>
      <c r="G52" s="147"/>
      <c r="H52" s="148"/>
    </row>
    <row r="53" spans="1:8" ht="12">
      <c r="A53" s="144"/>
      <c r="B53" s="145"/>
      <c r="C53" s="145"/>
      <c r="D53" s="145"/>
      <c r="E53" s="147" t="s">
        <v>324</v>
      </c>
      <c r="F53" s="147"/>
      <c r="G53" s="147"/>
      <c r="H53" s="148"/>
    </row>
    <row r="54" spans="1:8" ht="12">
      <c r="A54" s="144" t="s">
        <v>276</v>
      </c>
      <c r="B54" s="145"/>
      <c r="C54" s="145"/>
      <c r="D54" s="145"/>
      <c r="E54" s="147" t="s">
        <v>312</v>
      </c>
      <c r="F54" s="147"/>
      <c r="G54" s="147"/>
      <c r="H54" s="148"/>
    </row>
    <row r="55" spans="1:8" ht="12">
      <c r="A55" s="144"/>
      <c r="B55" s="145"/>
      <c r="C55" s="145"/>
      <c r="D55" s="145"/>
      <c r="E55" s="147" t="s">
        <v>455</v>
      </c>
      <c r="F55" s="147"/>
      <c r="G55" s="147"/>
      <c r="H55" s="148"/>
    </row>
    <row r="56" spans="1:8" ht="12">
      <c r="A56" s="144"/>
      <c r="B56" s="145"/>
      <c r="C56" s="145"/>
      <c r="D56" s="145"/>
      <c r="E56" s="147" t="s">
        <v>456</v>
      </c>
      <c r="F56" s="147"/>
      <c r="G56" s="147"/>
      <c r="H56" s="148"/>
    </row>
    <row r="57" spans="1:8" ht="12">
      <c r="A57" s="144"/>
      <c r="B57" s="145"/>
      <c r="C57" s="145"/>
      <c r="D57" s="145"/>
      <c r="E57" s="147" t="s">
        <v>457</v>
      </c>
      <c r="F57" s="147"/>
      <c r="G57" s="147"/>
      <c r="H57" s="148"/>
    </row>
    <row r="58" spans="1:8" ht="12">
      <c r="A58" s="144"/>
      <c r="B58" s="145"/>
      <c r="C58" s="145"/>
      <c r="D58" s="145"/>
      <c r="E58" s="147" t="s">
        <v>313</v>
      </c>
      <c r="F58" s="147"/>
      <c r="G58" s="147"/>
      <c r="H58" s="148"/>
    </row>
    <row r="59" spans="1:8" ht="12">
      <c r="A59" s="144"/>
      <c r="B59" s="145"/>
      <c r="C59" s="145"/>
      <c r="D59" s="145"/>
      <c r="E59" s="147" t="s">
        <v>279</v>
      </c>
      <c r="F59" s="147"/>
      <c r="G59" s="147"/>
      <c r="H59" s="148"/>
    </row>
    <row r="60" spans="1:8" ht="12">
      <c r="A60" s="144"/>
      <c r="B60" s="145"/>
      <c r="C60" s="145"/>
      <c r="D60" s="145"/>
      <c r="E60" s="147" t="s">
        <v>271</v>
      </c>
      <c r="F60" s="147"/>
      <c r="G60" s="147"/>
      <c r="H60" s="148"/>
    </row>
    <row r="61" spans="1:8" ht="12">
      <c r="A61" s="144"/>
      <c r="B61" s="145"/>
      <c r="C61" s="145"/>
      <c r="D61" s="145"/>
      <c r="E61" s="147" t="s">
        <v>272</v>
      </c>
      <c r="F61" s="147"/>
      <c r="G61" s="147"/>
      <c r="H61" s="148"/>
    </row>
    <row r="62" spans="1:8" ht="12">
      <c r="A62" s="144" t="s">
        <v>280</v>
      </c>
      <c r="B62" s="145"/>
      <c r="C62" s="145"/>
      <c r="D62" s="145"/>
      <c r="E62" s="147" t="s">
        <v>273</v>
      </c>
      <c r="F62" s="147"/>
      <c r="G62" s="147"/>
      <c r="H62" s="148"/>
    </row>
    <row r="63" spans="1:8" ht="12">
      <c r="A63" s="144" t="s">
        <v>281</v>
      </c>
      <c r="B63" s="145"/>
      <c r="C63" s="145"/>
      <c r="D63" s="145"/>
      <c r="E63" s="147" t="s">
        <v>368</v>
      </c>
      <c r="F63" s="147"/>
      <c r="G63" s="147"/>
      <c r="H63" s="148"/>
    </row>
    <row r="64" spans="1:8" ht="12">
      <c r="A64" s="144"/>
      <c r="B64" s="145"/>
      <c r="C64" s="145"/>
      <c r="D64" s="145"/>
      <c r="E64" s="147" t="s">
        <v>369</v>
      </c>
      <c r="F64" s="147"/>
      <c r="G64" s="147"/>
      <c r="H64" s="148"/>
    </row>
    <row r="65" spans="1:8" ht="12">
      <c r="A65" s="150" t="s">
        <v>282</v>
      </c>
      <c r="B65" s="151"/>
      <c r="C65" s="151"/>
      <c r="D65" s="151"/>
      <c r="E65" s="152"/>
      <c r="F65" s="152"/>
      <c r="G65" s="152"/>
      <c r="H65" s="122"/>
    </row>
  </sheetData>
  <mergeCells count="70">
    <mergeCell ref="A65:D65"/>
    <mergeCell ref="E65:H65"/>
    <mergeCell ref="A62:D62"/>
    <mergeCell ref="E62:H62"/>
    <mergeCell ref="A63:D64"/>
    <mergeCell ref="E63:H63"/>
    <mergeCell ref="E64:H64"/>
    <mergeCell ref="A54:D61"/>
    <mergeCell ref="E54:H54"/>
    <mergeCell ref="E55:H55"/>
    <mergeCell ref="E56:H56"/>
    <mergeCell ref="E57:H57"/>
    <mergeCell ref="E58:H58"/>
    <mergeCell ref="E59:H59"/>
    <mergeCell ref="E60:H60"/>
    <mergeCell ref="E61:H61"/>
    <mergeCell ref="D47:D48"/>
    <mergeCell ref="E47:E48"/>
    <mergeCell ref="B47:B48"/>
    <mergeCell ref="A52:D53"/>
    <mergeCell ref="E52:H52"/>
    <mergeCell ref="E53:H53"/>
    <mergeCell ref="A49:D49"/>
    <mergeCell ref="E49:H51"/>
    <mergeCell ref="A50:D50"/>
    <mergeCell ref="A51:D51"/>
    <mergeCell ref="C47:C48"/>
    <mergeCell ref="F30:F31"/>
    <mergeCell ref="G30:G31"/>
    <mergeCell ref="H30:H31"/>
    <mergeCell ref="F45:F46"/>
    <mergeCell ref="G45:G46"/>
    <mergeCell ref="H45:H46"/>
    <mergeCell ref="F47:F48"/>
    <mergeCell ref="G47:G48"/>
    <mergeCell ref="H47:H48"/>
    <mergeCell ref="B45:B46"/>
    <mergeCell ref="C45:C46"/>
    <mergeCell ref="D45:D46"/>
    <mergeCell ref="E45:E46"/>
    <mergeCell ref="B30:B31"/>
    <mergeCell ref="C30:C31"/>
    <mergeCell ref="D30:D31"/>
    <mergeCell ref="E30:E31"/>
    <mergeCell ref="F24:F25"/>
    <mergeCell ref="G24:G25"/>
    <mergeCell ref="H24:H25"/>
    <mergeCell ref="B26:H26"/>
    <mergeCell ref="B24:B25"/>
    <mergeCell ref="C24:C25"/>
    <mergeCell ref="D24:D25"/>
    <mergeCell ref="E24:E25"/>
    <mergeCell ref="F7:F8"/>
    <mergeCell ref="G7:G8"/>
    <mergeCell ref="H7:H8"/>
    <mergeCell ref="B22:B23"/>
    <mergeCell ref="C22:C23"/>
    <mergeCell ref="D22:D23"/>
    <mergeCell ref="E22:E23"/>
    <mergeCell ref="F22:F23"/>
    <mergeCell ref="G22:G23"/>
    <mergeCell ref="H22:H23"/>
    <mergeCell ref="B7:B8"/>
    <mergeCell ref="C7:C8"/>
    <mergeCell ref="D7:D8"/>
    <mergeCell ref="E7:E8"/>
    <mergeCell ref="A1:H1"/>
    <mergeCell ref="A2:A3"/>
    <mergeCell ref="H2:H3"/>
    <mergeCell ref="C3:E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Z83"/>
  <sheetViews>
    <sheetView workbookViewId="0" topLeftCell="A1">
      <pane xSplit="27520" topLeftCell="Y1" activePane="topRight" state="split"/>
      <selection pane="topLeft" activeCell="A1" sqref="A1"/>
      <selection pane="topRight" activeCell="Z30" sqref="Z30"/>
    </sheetView>
  </sheetViews>
  <sheetFormatPr defaultColWidth="11.421875" defaultRowHeight="13.5" customHeight="1"/>
  <cols>
    <col min="1" max="1" width="49.00390625" style="0" customWidth="1"/>
    <col min="2" max="26" width="8.00390625" style="0" customWidth="1"/>
  </cols>
  <sheetData>
    <row r="1" s="79" customFormat="1" ht="13.5" customHeight="1">
      <c r="A1" s="87" t="s">
        <v>498</v>
      </c>
    </row>
    <row r="2" ht="13.5" customHeight="1">
      <c r="A2" s="86" t="s">
        <v>499</v>
      </c>
    </row>
    <row r="3" spans="1:3" ht="13.5" customHeight="1">
      <c r="A3" s="86" t="s">
        <v>500</v>
      </c>
      <c r="B3" t="s">
        <v>501</v>
      </c>
      <c r="C3" t="s">
        <v>502</v>
      </c>
    </row>
    <row r="5" ht="13.5" customHeight="1">
      <c r="A5" s="87" t="s">
        <v>503</v>
      </c>
    </row>
    <row r="7" spans="1:26" ht="13.5" customHeight="1">
      <c r="A7" s="88" t="s">
        <v>504</v>
      </c>
      <c r="B7" s="89">
        <f>2006</f>
        <v>2006</v>
      </c>
      <c r="C7" s="89">
        <f>B7+1</f>
        <v>2007</v>
      </c>
      <c r="D7" s="89">
        <f aca="true" t="shared" si="0" ref="D7:Z7">C7+1</f>
        <v>2008</v>
      </c>
      <c r="E7" s="89">
        <f t="shared" si="0"/>
        <v>2009</v>
      </c>
      <c r="F7" s="89">
        <f t="shared" si="0"/>
        <v>2010</v>
      </c>
      <c r="G7" s="89">
        <f t="shared" si="0"/>
        <v>2011</v>
      </c>
      <c r="H7" s="89">
        <f t="shared" si="0"/>
        <v>2012</v>
      </c>
      <c r="I7" s="89">
        <f t="shared" si="0"/>
        <v>2013</v>
      </c>
      <c r="J7" s="89">
        <f t="shared" si="0"/>
        <v>2014</v>
      </c>
      <c r="K7" s="89">
        <f t="shared" si="0"/>
        <v>2015</v>
      </c>
      <c r="L7" s="89">
        <f t="shared" si="0"/>
        <v>2016</v>
      </c>
      <c r="M7" s="89">
        <f t="shared" si="0"/>
        <v>2017</v>
      </c>
      <c r="N7" s="89">
        <f t="shared" si="0"/>
        <v>2018</v>
      </c>
      <c r="O7" s="89">
        <f t="shared" si="0"/>
        <v>2019</v>
      </c>
      <c r="P7" s="89">
        <f t="shared" si="0"/>
        <v>2020</v>
      </c>
      <c r="Q7" s="89">
        <f t="shared" si="0"/>
        <v>2021</v>
      </c>
      <c r="R7" s="89">
        <f t="shared" si="0"/>
        <v>2022</v>
      </c>
      <c r="S7" s="89">
        <f t="shared" si="0"/>
        <v>2023</v>
      </c>
      <c r="T7" s="89">
        <f t="shared" si="0"/>
        <v>2024</v>
      </c>
      <c r="U7" s="89">
        <f t="shared" si="0"/>
        <v>2025</v>
      </c>
      <c r="V7" s="89">
        <f t="shared" si="0"/>
        <v>2026</v>
      </c>
      <c r="W7" s="89">
        <f t="shared" si="0"/>
        <v>2027</v>
      </c>
      <c r="X7" s="89">
        <f t="shared" si="0"/>
        <v>2028</v>
      </c>
      <c r="Y7" s="89">
        <f t="shared" si="0"/>
        <v>2029</v>
      </c>
      <c r="Z7" s="89">
        <f t="shared" si="0"/>
        <v>2030</v>
      </c>
    </row>
    <row r="8" spans="1:26" ht="13.5" customHeight="1">
      <c r="A8" s="86" t="s">
        <v>505</v>
      </c>
      <c r="B8" s="90">
        <v>0.00956899952143431</v>
      </c>
      <c r="C8" s="90">
        <v>0.00959399994462729</v>
      </c>
      <c r="D8" s="90">
        <v>0.00966699980199337</v>
      </c>
      <c r="E8" s="90">
        <v>0.00966699980199337</v>
      </c>
      <c r="F8" s="90">
        <v>0.0595904402434826</v>
      </c>
      <c r="G8" s="90">
        <v>0.0658171772956848</v>
      </c>
      <c r="H8" s="90">
        <v>0.0661466345191002</v>
      </c>
      <c r="I8" s="90">
        <v>0.0673636868596077</v>
      </c>
      <c r="J8" s="90">
        <v>0.070438876748085</v>
      </c>
      <c r="K8" s="90">
        <v>0.0731597542762756</v>
      </c>
      <c r="L8" s="90">
        <v>0.0704645067453384</v>
      </c>
      <c r="M8" s="90">
        <v>0.0666682943701744</v>
      </c>
      <c r="N8" s="90">
        <v>0.0669296160340309</v>
      </c>
      <c r="O8" s="90">
        <v>0.053865659981966</v>
      </c>
      <c r="P8" s="90">
        <v>0.0586816892027855</v>
      </c>
      <c r="Q8" s="90">
        <v>0.0454928278923035</v>
      </c>
      <c r="R8" s="90">
        <v>0.0483777485787868</v>
      </c>
      <c r="S8" s="90">
        <v>0.0493929348886013</v>
      </c>
      <c r="T8" s="90">
        <v>0.0648501291871071</v>
      </c>
      <c r="U8" s="90">
        <v>0.0626952424645424</v>
      </c>
      <c r="V8" s="90">
        <v>0.0647213757038116</v>
      </c>
      <c r="W8" s="90">
        <v>0.0633187294006348</v>
      </c>
      <c r="X8" s="90">
        <v>0.0654689744114876</v>
      </c>
      <c r="Y8" s="90">
        <v>0.0675600171089172</v>
      </c>
      <c r="Z8" s="90">
        <v>0.0423792563378811</v>
      </c>
    </row>
    <row r="9" spans="1:26" ht="13.5" customHeight="1">
      <c r="A9" s="86" t="s">
        <v>506</v>
      </c>
      <c r="B9" s="90">
        <v>0.00252800015732646</v>
      </c>
      <c r="C9" s="90">
        <v>0.00244700000621378</v>
      </c>
      <c r="D9" s="90">
        <v>0.00255200010724366</v>
      </c>
      <c r="E9" s="90">
        <v>0.00255200010724366</v>
      </c>
      <c r="F9" s="90">
        <v>0</v>
      </c>
      <c r="G9" s="90">
        <v>0</v>
      </c>
      <c r="H9" s="90">
        <v>0</v>
      </c>
      <c r="I9" s="90">
        <v>0</v>
      </c>
      <c r="J9" s="90">
        <v>0</v>
      </c>
      <c r="K9" s="90">
        <v>0</v>
      </c>
      <c r="L9" s="90">
        <v>0</v>
      </c>
      <c r="M9" s="90">
        <v>0</v>
      </c>
      <c r="N9" s="90">
        <v>0</v>
      </c>
      <c r="O9" s="90">
        <v>0</v>
      </c>
      <c r="P9" s="90">
        <v>0</v>
      </c>
      <c r="Q9" s="90">
        <v>0</v>
      </c>
      <c r="R9" s="90">
        <v>0</v>
      </c>
      <c r="S9" s="90">
        <v>0</v>
      </c>
      <c r="T9" s="90">
        <v>0</v>
      </c>
      <c r="U9" s="90">
        <v>0</v>
      </c>
      <c r="V9" s="90">
        <v>0</v>
      </c>
      <c r="W9" s="90">
        <v>0</v>
      </c>
      <c r="X9" s="90">
        <v>0</v>
      </c>
      <c r="Y9" s="90">
        <v>0</v>
      </c>
      <c r="Z9" s="90">
        <v>0</v>
      </c>
    </row>
    <row r="10" spans="1:26" ht="13.5" customHeight="1">
      <c r="A10" s="86" t="s">
        <v>443</v>
      </c>
      <c r="B10" s="90">
        <v>0.0126879997551441</v>
      </c>
      <c r="C10" s="90">
        <v>0.0115940002724528</v>
      </c>
      <c r="D10" s="90">
        <v>0.0128120006993413</v>
      </c>
      <c r="E10" s="90">
        <v>0.0128120006993413</v>
      </c>
      <c r="F10" s="90">
        <v>0.00579712260514498</v>
      </c>
      <c r="G10" s="90">
        <v>0</v>
      </c>
      <c r="H10" s="90">
        <v>0</v>
      </c>
      <c r="I10" s="90">
        <v>0</v>
      </c>
      <c r="J10" s="90">
        <v>0</v>
      </c>
      <c r="K10" s="90">
        <v>0</v>
      </c>
      <c r="L10" s="90">
        <v>0</v>
      </c>
      <c r="M10" s="90">
        <v>0</v>
      </c>
      <c r="N10" s="90">
        <v>0</v>
      </c>
      <c r="O10" s="90">
        <v>0</v>
      </c>
      <c r="P10" s="90">
        <v>0</v>
      </c>
      <c r="Q10" s="90">
        <v>0</v>
      </c>
      <c r="R10" s="90">
        <v>0</v>
      </c>
      <c r="S10" s="90">
        <v>0</v>
      </c>
      <c r="T10" s="90">
        <v>0</v>
      </c>
      <c r="U10" s="90">
        <v>0</v>
      </c>
      <c r="V10" s="90">
        <v>0</v>
      </c>
      <c r="W10" s="90">
        <v>0</v>
      </c>
      <c r="X10" s="90">
        <v>0</v>
      </c>
      <c r="Y10" s="90">
        <v>0</v>
      </c>
      <c r="Z10" s="90">
        <v>0</v>
      </c>
    </row>
    <row r="11" spans="1:26" ht="13.5" customHeight="1">
      <c r="A11" s="86" t="s">
        <v>444</v>
      </c>
      <c r="B11" s="90">
        <v>0.570154011249542</v>
      </c>
      <c r="C11" s="90">
        <v>0.553350985050201</v>
      </c>
      <c r="D11" s="90">
        <v>0.575792968273163</v>
      </c>
      <c r="E11" s="90">
        <v>0.575792968273163</v>
      </c>
      <c r="F11" s="90">
        <v>0.541293263435364</v>
      </c>
      <c r="G11" s="90">
        <v>0.545596897602081</v>
      </c>
      <c r="H11" s="90">
        <v>0.538941919803619</v>
      </c>
      <c r="I11" s="90">
        <v>0.535516858100891</v>
      </c>
      <c r="J11" s="90">
        <v>0.531002998352051</v>
      </c>
      <c r="K11" s="90">
        <v>0.512670993804932</v>
      </c>
      <c r="L11" s="90">
        <v>0.506501972675323</v>
      </c>
      <c r="M11" s="90">
        <v>0.498913466930389</v>
      </c>
      <c r="N11" s="90">
        <v>0.49091112613678</v>
      </c>
      <c r="O11" s="90">
        <v>0.49195784330368</v>
      </c>
      <c r="P11" s="90">
        <v>0.490223854780197</v>
      </c>
      <c r="Q11" s="90">
        <v>0.476919412612915</v>
      </c>
      <c r="R11" s="90">
        <v>0.467960327863693</v>
      </c>
      <c r="S11" s="90">
        <v>0.464572370052338</v>
      </c>
      <c r="T11" s="90">
        <v>0.46003732085228</v>
      </c>
      <c r="U11" s="90">
        <v>0.461674094200134</v>
      </c>
      <c r="V11" s="90">
        <v>0.461165428161621</v>
      </c>
      <c r="W11" s="90">
        <v>0.447769522666931</v>
      </c>
      <c r="X11" s="90">
        <v>0.448894828557968</v>
      </c>
      <c r="Y11" s="90">
        <v>0.435965180397034</v>
      </c>
      <c r="Z11" s="90">
        <v>0.43500480055809</v>
      </c>
    </row>
    <row r="12" spans="1:26" ht="13.5" customHeight="1">
      <c r="A12" s="86" t="s">
        <v>445</v>
      </c>
      <c r="B12" s="90">
        <v>1.68924808502197</v>
      </c>
      <c r="C12" s="90">
        <v>1.67510104179382</v>
      </c>
      <c r="D12" s="90">
        <v>1.70476293563843</v>
      </c>
      <c r="E12" s="90">
        <v>1.70476293563843</v>
      </c>
      <c r="F12" s="90">
        <v>1.80710363388062</v>
      </c>
      <c r="G12" s="90">
        <v>1.78902852535248</v>
      </c>
      <c r="H12" s="90">
        <v>1.70876944065094</v>
      </c>
      <c r="I12" s="90">
        <v>1.66191804409027</v>
      </c>
      <c r="J12" s="90">
        <v>1.66416478157043</v>
      </c>
      <c r="K12" s="90">
        <v>1.6408109664917</v>
      </c>
      <c r="L12" s="90">
        <v>1.64053189754486</v>
      </c>
      <c r="M12" s="90">
        <v>1.60909426212311</v>
      </c>
      <c r="N12" s="90">
        <v>1.60388278961182</v>
      </c>
      <c r="O12" s="90">
        <v>1.62227237224579</v>
      </c>
      <c r="P12" s="90">
        <v>1.609534740448</v>
      </c>
      <c r="Q12" s="90">
        <v>1.60881006717682</v>
      </c>
      <c r="R12" s="90">
        <v>1.56169545650482</v>
      </c>
      <c r="S12" s="90">
        <v>1.5661758184433</v>
      </c>
      <c r="T12" s="90">
        <v>1.55296671390533</v>
      </c>
      <c r="U12" s="90">
        <v>1.57654273509979</v>
      </c>
      <c r="V12" s="90">
        <v>1.58199214935303</v>
      </c>
      <c r="W12" s="90">
        <v>1.56285607814789</v>
      </c>
      <c r="X12" s="90">
        <v>1.5685727596283</v>
      </c>
      <c r="Y12" s="90">
        <v>1.65465843677521</v>
      </c>
      <c r="Z12" s="90">
        <v>1.65745866298676</v>
      </c>
    </row>
    <row r="13" spans="1:26" ht="13.5" customHeight="1">
      <c r="A13" s="86" t="s">
        <v>446</v>
      </c>
      <c r="B13" s="90">
        <v>0.0366719961166382</v>
      </c>
      <c r="C13" s="90">
        <v>0.0214690007269382</v>
      </c>
      <c r="D13" s="90">
        <v>0.0370370000600815</v>
      </c>
      <c r="E13" s="90">
        <v>0.0370370000600815</v>
      </c>
      <c r="F13" s="90">
        <v>0.0257834400981665</v>
      </c>
      <c r="G13" s="90">
        <v>0.0265172831714153</v>
      </c>
      <c r="H13" s="90">
        <v>0.0268056448549032</v>
      </c>
      <c r="I13" s="90">
        <v>0.0268646106123924</v>
      </c>
      <c r="J13" s="90">
        <v>0.0268173832446337</v>
      </c>
      <c r="K13" s="90">
        <v>0.0269209984689951</v>
      </c>
      <c r="L13" s="90">
        <v>0.0267789456993341</v>
      </c>
      <c r="M13" s="90">
        <v>0.0267970338463783</v>
      </c>
      <c r="N13" s="90">
        <v>0.0268776677548885</v>
      </c>
      <c r="O13" s="90">
        <v>0.0265607610344887</v>
      </c>
      <c r="P13" s="90">
        <v>0.0263973139226437</v>
      </c>
      <c r="Q13" s="90">
        <v>0.0263425633311272</v>
      </c>
      <c r="R13" s="90">
        <v>0.026477700099349</v>
      </c>
      <c r="S13" s="90">
        <v>0.0266160536557436</v>
      </c>
      <c r="T13" s="90">
        <v>0.026800449937582</v>
      </c>
      <c r="U13" s="90">
        <v>0.0270441714674234</v>
      </c>
      <c r="V13" s="90">
        <v>0.027047960087657</v>
      </c>
      <c r="W13" s="90">
        <v>0.0267696194350719</v>
      </c>
      <c r="X13" s="90">
        <v>0.0268037132918835</v>
      </c>
      <c r="Y13" s="90">
        <v>0.0277355033904314</v>
      </c>
      <c r="Z13" s="90">
        <v>0.0271893721073866</v>
      </c>
    </row>
    <row r="14" spans="1:26" ht="13.5" customHeight="1">
      <c r="A14" s="86" t="s">
        <v>447</v>
      </c>
      <c r="B14" s="90">
        <v>2.3208589553833</v>
      </c>
      <c r="C14" s="90">
        <v>2.27355623245239</v>
      </c>
      <c r="D14" s="90">
        <v>2.3426237106323198</v>
      </c>
      <c r="E14" s="90">
        <v>2.3426239490509</v>
      </c>
      <c r="F14" s="90">
        <v>2.43956804275513</v>
      </c>
      <c r="G14" s="90">
        <v>2.42695999145508</v>
      </c>
      <c r="H14" s="90">
        <v>2.34066367149353</v>
      </c>
      <c r="I14" s="90">
        <v>2.29166316986084</v>
      </c>
      <c r="J14" s="90">
        <v>2.29242396354675</v>
      </c>
      <c r="K14" s="90">
        <v>2.25356268882751</v>
      </c>
      <c r="L14" s="90">
        <v>2.24427723884583</v>
      </c>
      <c r="M14" s="90">
        <v>2.20147299766541</v>
      </c>
      <c r="N14" s="90">
        <v>2.18860125541687</v>
      </c>
      <c r="O14" s="90">
        <v>2.19465661048889</v>
      </c>
      <c r="P14" s="90">
        <v>2.18483757972717</v>
      </c>
      <c r="Q14" s="90">
        <v>2.15756487846375</v>
      </c>
      <c r="R14" s="90">
        <v>2.10451126098633</v>
      </c>
      <c r="S14" s="90">
        <v>2.10675716400146</v>
      </c>
      <c r="T14" s="90">
        <v>2.10465455055237</v>
      </c>
      <c r="U14" s="90">
        <v>2.12795615196228</v>
      </c>
      <c r="V14" s="90">
        <v>2.13492679595947</v>
      </c>
      <c r="W14" s="90">
        <v>2.10071396827698</v>
      </c>
      <c r="X14" s="90">
        <v>2.10974049568176</v>
      </c>
      <c r="Y14" s="90">
        <v>2.18591904640198</v>
      </c>
      <c r="Z14" s="90">
        <v>2.16203188896179</v>
      </c>
    </row>
    <row r="15" spans="1:26" ht="13.5" customHeight="1">
      <c r="A15" s="86" t="s">
        <v>448</v>
      </c>
      <c r="B15" s="90">
        <v>1.10489904880524</v>
      </c>
      <c r="C15" s="90">
        <v>1.12803196907043</v>
      </c>
      <c r="D15" s="90">
        <v>1.268306016922</v>
      </c>
      <c r="E15" s="90">
        <v>1.33910667896271</v>
      </c>
      <c r="F15" s="90">
        <v>0.974130094051361</v>
      </c>
      <c r="G15" s="90">
        <v>1.12558364868164</v>
      </c>
      <c r="H15" s="90">
        <v>1.20684492588043</v>
      </c>
      <c r="I15" s="90">
        <v>1.26213479042053</v>
      </c>
      <c r="J15" s="90">
        <v>1.24125039577484</v>
      </c>
      <c r="K15" s="90">
        <v>1.2548201084137</v>
      </c>
      <c r="L15" s="90">
        <v>1.26006054878235</v>
      </c>
      <c r="M15" s="90">
        <v>1.27099502086639</v>
      </c>
      <c r="N15" s="90">
        <v>1.27368330955505</v>
      </c>
      <c r="O15" s="90">
        <v>1.2651914358139</v>
      </c>
      <c r="P15" s="90">
        <v>1.28103709220886</v>
      </c>
      <c r="Q15" s="90">
        <v>1.3071790933609</v>
      </c>
      <c r="R15" s="90">
        <v>1.34785223007202</v>
      </c>
      <c r="S15" s="90">
        <v>1.3583505153656</v>
      </c>
      <c r="T15" s="90">
        <v>1.38179397583008</v>
      </c>
      <c r="U15" s="90">
        <v>1.35630512237549</v>
      </c>
      <c r="V15" s="90">
        <v>1.36489522457123</v>
      </c>
      <c r="W15" s="90">
        <v>1.43425691127777</v>
      </c>
      <c r="X15" s="90">
        <v>1.43488526344299</v>
      </c>
      <c r="Y15" s="90">
        <v>1.33429002761841</v>
      </c>
      <c r="Z15" s="90">
        <v>1.4139096736908</v>
      </c>
    </row>
    <row r="16" spans="1:26" ht="13.5" customHeight="1">
      <c r="A16" s="86" t="s">
        <v>449</v>
      </c>
      <c r="B16" s="90">
        <v>0</v>
      </c>
      <c r="C16" s="90">
        <v>0</v>
      </c>
      <c r="D16" s="90">
        <v>0</v>
      </c>
      <c r="E16" s="90">
        <v>0</v>
      </c>
      <c r="F16" s="90">
        <v>0</v>
      </c>
      <c r="G16" s="90">
        <v>0</v>
      </c>
      <c r="H16" s="90">
        <v>0</v>
      </c>
      <c r="I16" s="90">
        <v>0</v>
      </c>
      <c r="J16" s="90">
        <v>0</v>
      </c>
      <c r="K16" s="90">
        <v>0</v>
      </c>
      <c r="L16" s="90">
        <v>0</v>
      </c>
      <c r="M16" s="90">
        <v>0</v>
      </c>
      <c r="N16" s="90">
        <v>0</v>
      </c>
      <c r="O16" s="90">
        <v>0</v>
      </c>
      <c r="P16" s="90">
        <v>0</v>
      </c>
      <c r="Q16" s="90">
        <v>0</v>
      </c>
      <c r="R16" s="90">
        <v>0</v>
      </c>
      <c r="S16" s="90">
        <v>0</v>
      </c>
      <c r="T16" s="90">
        <v>0</v>
      </c>
      <c r="U16" s="90">
        <v>0</v>
      </c>
      <c r="V16" s="90">
        <v>0</v>
      </c>
      <c r="W16" s="90">
        <v>0</v>
      </c>
      <c r="X16" s="90">
        <v>0</v>
      </c>
      <c r="Y16" s="90">
        <v>0</v>
      </c>
      <c r="Z16" s="90">
        <v>0</v>
      </c>
    </row>
    <row r="17" spans="1:26" ht="13.5" customHeight="1">
      <c r="A17" s="86" t="s">
        <v>450</v>
      </c>
      <c r="B17" s="90">
        <v>1.10489904880524</v>
      </c>
      <c r="C17" s="90">
        <v>1.12803196907043</v>
      </c>
      <c r="D17" s="90">
        <v>1.268306016922</v>
      </c>
      <c r="E17" s="90">
        <v>1.33910667896271</v>
      </c>
      <c r="F17" s="90">
        <v>0.974130094051361</v>
      </c>
      <c r="G17" s="90">
        <v>1.12558364868164</v>
      </c>
      <c r="H17" s="90">
        <v>1.20684492588043</v>
      </c>
      <c r="I17" s="90">
        <v>1.26213479042053</v>
      </c>
      <c r="J17" s="90">
        <v>1.24125039577484</v>
      </c>
      <c r="K17" s="90">
        <v>1.2548201084137</v>
      </c>
      <c r="L17" s="90">
        <v>1.26006054878235</v>
      </c>
      <c r="M17" s="90">
        <v>1.27099502086639</v>
      </c>
      <c r="N17" s="90">
        <v>1.27368330955505</v>
      </c>
      <c r="O17" s="90">
        <v>1.2651914358139</v>
      </c>
      <c r="P17" s="90">
        <v>1.28103709220886</v>
      </c>
      <c r="Q17" s="90">
        <v>1.3071790933609</v>
      </c>
      <c r="R17" s="90">
        <v>1.34785223007202</v>
      </c>
      <c r="S17" s="90">
        <v>1.3583505153656</v>
      </c>
      <c r="T17" s="90">
        <v>1.38179397583008</v>
      </c>
      <c r="U17" s="90">
        <v>1.35630512237549</v>
      </c>
      <c r="V17" s="90">
        <v>1.36489522457123</v>
      </c>
      <c r="W17" s="90">
        <v>1.43425691127777</v>
      </c>
      <c r="X17" s="90">
        <v>1.43488526344299</v>
      </c>
      <c r="Y17" s="90">
        <v>1.33429002761841</v>
      </c>
      <c r="Z17" s="90">
        <v>1.4139096736908</v>
      </c>
    </row>
    <row r="18" spans="1:26" ht="13.5" customHeight="1">
      <c r="A18" s="86" t="s">
        <v>451</v>
      </c>
      <c r="B18" s="90">
        <v>0.0624240003526211</v>
      </c>
      <c r="C18" s="90">
        <v>0.0624240003526211</v>
      </c>
      <c r="D18" s="90">
        <v>0.0624240003526211</v>
      </c>
      <c r="E18" s="90">
        <v>0.0595504269003868</v>
      </c>
      <c r="F18" s="90">
        <v>0.0595504269003868</v>
      </c>
      <c r="G18" s="90">
        <v>0.0595504269003868</v>
      </c>
      <c r="H18" s="90">
        <v>0.0595504269003868</v>
      </c>
      <c r="I18" s="90">
        <v>0.0595504269003868</v>
      </c>
      <c r="J18" s="90">
        <v>0.0595504269003868</v>
      </c>
      <c r="K18" s="90">
        <v>0.0595504269003868</v>
      </c>
      <c r="L18" s="90">
        <v>0.0595504269003868</v>
      </c>
      <c r="M18" s="90">
        <v>0.0595504269003868</v>
      </c>
      <c r="N18" s="90">
        <v>0.0595504269003868</v>
      </c>
      <c r="O18" s="90">
        <v>0.0595504269003868</v>
      </c>
      <c r="P18" s="90">
        <v>0.0595504269003868</v>
      </c>
      <c r="Q18" s="90">
        <v>0.0595504269003868</v>
      </c>
      <c r="R18" s="90">
        <v>0.0595504269003868</v>
      </c>
      <c r="S18" s="90">
        <v>0.0595504269003868</v>
      </c>
      <c r="T18" s="90">
        <v>0.0595504269003868</v>
      </c>
      <c r="U18" s="90">
        <v>0.0595504269003868</v>
      </c>
      <c r="V18" s="90">
        <v>0.0595504269003868</v>
      </c>
      <c r="W18" s="90">
        <v>0.0595504269003868</v>
      </c>
      <c r="X18" s="90">
        <v>0.0595504269003868</v>
      </c>
      <c r="Y18" s="90">
        <v>0.0595504269003868</v>
      </c>
      <c r="Z18" s="90">
        <v>0.0595504269003868</v>
      </c>
    </row>
    <row r="19" spans="1:26" ht="13.5" customHeight="1">
      <c r="A19" s="86" t="s">
        <v>452</v>
      </c>
      <c r="B19" s="90">
        <v>0</v>
      </c>
      <c r="C19" s="90">
        <v>0</v>
      </c>
      <c r="D19" s="90">
        <v>0.00075699994340539</v>
      </c>
      <c r="E19" s="90">
        <v>0.00075699994340539</v>
      </c>
      <c r="F19" s="90">
        <v>0</v>
      </c>
      <c r="G19" s="90">
        <v>0.00464583979919553</v>
      </c>
      <c r="H19" s="90">
        <v>0.0239566769450903</v>
      </c>
      <c r="I19" s="90">
        <v>0.061702623963356</v>
      </c>
      <c r="J19" s="90">
        <v>0.155140250921249</v>
      </c>
      <c r="K19" s="90">
        <v>0.168258309364319</v>
      </c>
      <c r="L19" s="90">
        <v>0.182226151227951</v>
      </c>
      <c r="M19" s="90">
        <v>0.197055071592331</v>
      </c>
      <c r="N19" s="90">
        <v>0.212749287486076</v>
      </c>
      <c r="O19" s="90">
        <v>0.229304552078247</v>
      </c>
      <c r="P19" s="90">
        <v>0.246707454323769</v>
      </c>
      <c r="Q19" s="90">
        <v>0.264934629201889</v>
      </c>
      <c r="R19" s="90">
        <v>0.283952176570892</v>
      </c>
      <c r="S19" s="90">
        <v>0.303715169429779</v>
      </c>
      <c r="T19" s="90">
        <v>0.324167847633362</v>
      </c>
      <c r="U19" s="90">
        <v>0.34524330496788</v>
      </c>
      <c r="V19" s="90">
        <v>0.366864919662476</v>
      </c>
      <c r="W19" s="90">
        <v>0.388946115970612</v>
      </c>
      <c r="X19" s="90">
        <v>0.411392450332642</v>
      </c>
      <c r="Y19" s="90">
        <v>0.43410250544548</v>
      </c>
      <c r="Z19" s="90">
        <v>0.45697009563446</v>
      </c>
    </row>
    <row r="20" spans="1:26" ht="13.5" customHeight="1">
      <c r="A20" s="86" t="s">
        <v>453</v>
      </c>
      <c r="B20" s="90">
        <v>0.0624240003526211</v>
      </c>
      <c r="C20" s="90">
        <v>0.0624240003526211</v>
      </c>
      <c r="D20" s="90">
        <v>0.06318099796772</v>
      </c>
      <c r="E20" s="90">
        <v>0.0603074282407761</v>
      </c>
      <c r="F20" s="90">
        <v>0.0595504269003868</v>
      </c>
      <c r="G20" s="90">
        <v>0.0641962662339211</v>
      </c>
      <c r="H20" s="90">
        <v>0.0835071057081223</v>
      </c>
      <c r="I20" s="90">
        <v>0.121253050863743</v>
      </c>
      <c r="J20" s="90">
        <v>0.214690685272217</v>
      </c>
      <c r="K20" s="90">
        <v>0.227808743715286</v>
      </c>
      <c r="L20" s="90">
        <v>0.241776585578918</v>
      </c>
      <c r="M20" s="90">
        <v>0.256605505943298</v>
      </c>
      <c r="N20" s="90">
        <v>0.272299706935883</v>
      </c>
      <c r="O20" s="90">
        <v>0.288854986429214</v>
      </c>
      <c r="P20" s="90">
        <v>0.306257873773575</v>
      </c>
      <c r="Q20" s="90">
        <v>0.324485063552856</v>
      </c>
      <c r="R20" s="90">
        <v>0.34350261092186</v>
      </c>
      <c r="S20" s="90">
        <v>0.363265603780746</v>
      </c>
      <c r="T20" s="90">
        <v>0.383718281984329</v>
      </c>
      <c r="U20" s="90">
        <v>0.404793739318848</v>
      </c>
      <c r="V20" s="90">
        <v>0.426415354013443</v>
      </c>
      <c r="W20" s="90">
        <v>0.448496550321579</v>
      </c>
      <c r="X20" s="90">
        <v>0.470942884683609</v>
      </c>
      <c r="Y20" s="90">
        <v>0.493652939796448</v>
      </c>
      <c r="Z20" s="90">
        <v>0.516520500183105</v>
      </c>
    </row>
    <row r="21" spans="1:26" ht="13.5" customHeight="1">
      <c r="A21" s="86" t="s">
        <v>454</v>
      </c>
      <c r="B21" s="90">
        <v>0.301425248384476</v>
      </c>
      <c r="C21" s="90">
        <v>0.401797413825989</v>
      </c>
      <c r="D21" s="90">
        <v>0.872740626335144</v>
      </c>
      <c r="E21" s="90">
        <v>0.655328035354614</v>
      </c>
      <c r="F21" s="90">
        <v>0.759322464466095</v>
      </c>
      <c r="G21" s="90">
        <v>0.852034509181976</v>
      </c>
      <c r="H21" s="90">
        <v>0.840497314929962</v>
      </c>
      <c r="I21" s="90">
        <v>0.842752516269684</v>
      </c>
      <c r="J21" s="90">
        <v>0.836346328258514</v>
      </c>
      <c r="K21" s="90">
        <v>0.854244291782379</v>
      </c>
      <c r="L21" s="90">
        <v>0.894901752471924</v>
      </c>
      <c r="M21" s="90">
        <v>0.927104830741882</v>
      </c>
      <c r="N21" s="90">
        <v>0.991284608840942</v>
      </c>
      <c r="O21" s="90">
        <v>1.0660947561264</v>
      </c>
      <c r="P21" s="90">
        <v>1.22613346576691</v>
      </c>
      <c r="Q21" s="90">
        <v>1.37141728401184</v>
      </c>
      <c r="R21" s="90">
        <v>1.56382763385773</v>
      </c>
      <c r="S21" s="90">
        <v>1.63595962524414</v>
      </c>
      <c r="T21" s="90">
        <v>1.61427712440491</v>
      </c>
      <c r="U21" s="90">
        <v>1.62888360023499</v>
      </c>
      <c r="V21" s="90">
        <v>1.65590023994446</v>
      </c>
      <c r="W21" s="90">
        <v>1.75286507606506</v>
      </c>
      <c r="X21" s="90">
        <v>1.79167580604553</v>
      </c>
      <c r="Y21" s="90">
        <v>1.89420580863953</v>
      </c>
      <c r="Z21" s="90">
        <v>1.93839585781097</v>
      </c>
    </row>
    <row r="22" spans="1:26" ht="13.5" customHeight="1">
      <c r="A22" s="86" t="s">
        <v>509</v>
      </c>
      <c r="B22" s="90">
        <v>0.146574288606644</v>
      </c>
      <c r="C22" s="90">
        <v>0.160507991909981</v>
      </c>
      <c r="D22" s="90">
        <v>0.163799911737442</v>
      </c>
      <c r="E22" s="90">
        <v>0.173865154385567</v>
      </c>
      <c r="F22" s="90">
        <v>0.180399805307388</v>
      </c>
      <c r="G22" s="90">
        <v>0.187409967184067</v>
      </c>
      <c r="H22" s="90">
        <v>0.189808890223503</v>
      </c>
      <c r="I22" s="90">
        <v>0.190562546253204</v>
      </c>
      <c r="J22" s="90">
        <v>0.189257547259331</v>
      </c>
      <c r="K22" s="90">
        <v>0.198832526803017</v>
      </c>
      <c r="L22" s="90">
        <v>0.200524717569351</v>
      </c>
      <c r="M22" s="90">
        <v>0.200538530945778</v>
      </c>
      <c r="N22" s="90">
        <v>0.204253301024437</v>
      </c>
      <c r="O22" s="90">
        <v>0.203404515981674</v>
      </c>
      <c r="P22" s="90">
        <v>0.203830316662788</v>
      </c>
      <c r="Q22" s="90">
        <v>0.206699281930923</v>
      </c>
      <c r="R22" s="90">
        <v>0.207167699933052</v>
      </c>
      <c r="S22" s="90">
        <v>0.208579868078232</v>
      </c>
      <c r="T22" s="90">
        <v>0.211020201444626</v>
      </c>
      <c r="U22" s="90">
        <v>0.211074873805046</v>
      </c>
      <c r="V22" s="90">
        <v>0.211061105132103</v>
      </c>
      <c r="W22" s="90">
        <v>0.218084052205086</v>
      </c>
      <c r="X22" s="90">
        <v>0.21916364133358</v>
      </c>
      <c r="Y22" s="90">
        <v>0.223205700516701</v>
      </c>
      <c r="Z22" s="90">
        <v>0.223039671778679</v>
      </c>
    </row>
    <row r="23" spans="1:26" ht="13.5" customHeight="1">
      <c r="A23" s="86" t="s">
        <v>510</v>
      </c>
      <c r="B23" s="90">
        <v>3.93618154525757</v>
      </c>
      <c r="C23" s="90">
        <v>4.02631759643555</v>
      </c>
      <c r="D23" s="90">
        <v>4.71065139770508</v>
      </c>
      <c r="E23" s="90">
        <v>4.57123136520386</v>
      </c>
      <c r="F23" s="90">
        <v>4.41297101974487</v>
      </c>
      <c r="G23" s="90">
        <v>4.65618419647217</v>
      </c>
      <c r="H23" s="90">
        <v>4.66132164001465</v>
      </c>
      <c r="I23" s="90">
        <v>4.70836639404297</v>
      </c>
      <c r="J23" s="90">
        <v>4.77396869659424</v>
      </c>
      <c r="K23" s="90">
        <v>4.78926849365234</v>
      </c>
      <c r="L23" s="90">
        <v>4.84154081344604</v>
      </c>
      <c r="M23" s="90">
        <v>4.85671710968018</v>
      </c>
      <c r="N23" s="90">
        <v>4.93012237548828</v>
      </c>
      <c r="O23" s="90">
        <v>5.01820230484009</v>
      </c>
      <c r="P23" s="90">
        <v>5.20209646224976</v>
      </c>
      <c r="Q23" s="90">
        <v>5.36734580993652</v>
      </c>
      <c r="R23" s="90">
        <v>5.56686115264893</v>
      </c>
      <c r="S23" s="90">
        <v>5.67291259765625</v>
      </c>
      <c r="T23" s="90">
        <v>5.69546413421631</v>
      </c>
      <c r="U23" s="90">
        <v>5.72901344299316</v>
      </c>
      <c r="V23" s="90">
        <v>5.79319858551025</v>
      </c>
      <c r="W23" s="90">
        <v>5.95441675186157</v>
      </c>
      <c r="X23" s="90">
        <v>6.02640819549561</v>
      </c>
      <c r="Y23" s="90">
        <v>6.13127374649048</v>
      </c>
      <c r="Z23" s="90">
        <v>6.25389766693115</v>
      </c>
    </row>
    <row r="24" spans="1:26" ht="13.5" customHeight="1">
      <c r="A24" s="86" t="s">
        <v>511</v>
      </c>
      <c r="B24" s="90">
        <v>0.317859381437302</v>
      </c>
      <c r="C24" s="90">
        <v>0.350020468235016</v>
      </c>
      <c r="D24" s="90">
        <v>0.350872874259949</v>
      </c>
      <c r="E24" s="90">
        <v>0.376855731010437</v>
      </c>
      <c r="F24" s="90">
        <v>0.393286287784576</v>
      </c>
      <c r="G24" s="90">
        <v>0.409321695566177</v>
      </c>
      <c r="H24" s="90">
        <v>0.414892703294754</v>
      </c>
      <c r="I24" s="90">
        <v>0.415484189987183</v>
      </c>
      <c r="J24" s="90">
        <v>0.410979390144348</v>
      </c>
      <c r="K24" s="90">
        <v>0.43019238114357</v>
      </c>
      <c r="L24" s="90">
        <v>0.433401703834534</v>
      </c>
      <c r="M24" s="90">
        <v>0.433175444602966</v>
      </c>
      <c r="N24" s="90">
        <v>0.440388590097427</v>
      </c>
      <c r="O24" s="90">
        <v>0.437557548284531</v>
      </c>
      <c r="P24" s="90">
        <v>0.437763243913651</v>
      </c>
      <c r="Q24" s="90">
        <v>0.442300766706467</v>
      </c>
      <c r="R24" s="90">
        <v>0.441035687923431</v>
      </c>
      <c r="S24" s="90">
        <v>0.441638022661209</v>
      </c>
      <c r="T24" s="90">
        <v>0.444469451904297</v>
      </c>
      <c r="U24" s="90">
        <v>0.442136883735657</v>
      </c>
      <c r="V24" s="90">
        <v>0.440031826496124</v>
      </c>
      <c r="W24" s="90">
        <v>0.453968018293381</v>
      </c>
      <c r="X24" s="90">
        <v>0.455377370119095</v>
      </c>
      <c r="Y24" s="90">
        <v>0.463710576295853</v>
      </c>
      <c r="Z24" s="90">
        <v>0.461479425430298</v>
      </c>
    </row>
    <row r="25" spans="1:26" ht="13.5" customHeight="1">
      <c r="A25" s="86" t="s">
        <v>512</v>
      </c>
      <c r="B25" s="90">
        <v>4.25404071807861</v>
      </c>
      <c r="C25" s="90">
        <v>4.37633800506592</v>
      </c>
      <c r="D25" s="90">
        <v>5.06152439117432</v>
      </c>
      <c r="E25" s="90">
        <v>4.94808721542358</v>
      </c>
      <c r="F25" s="90">
        <v>4.8062572479248</v>
      </c>
      <c r="G25" s="90">
        <v>5.06550598144531</v>
      </c>
      <c r="H25" s="90">
        <v>5.07621431350708</v>
      </c>
      <c r="I25" s="90">
        <v>5.12385082244873</v>
      </c>
      <c r="J25" s="90">
        <v>5.1849479675293</v>
      </c>
      <c r="K25" s="90">
        <v>5.21946096420288</v>
      </c>
      <c r="L25" s="90">
        <v>5.27494239807129</v>
      </c>
      <c r="M25" s="90">
        <v>5.28989267349243</v>
      </c>
      <c r="N25" s="90">
        <v>5.37051105499268</v>
      </c>
      <c r="O25" s="90">
        <v>5.45576000213623</v>
      </c>
      <c r="P25" s="90">
        <v>5.63985967636108</v>
      </c>
      <c r="Q25" s="90">
        <v>5.80964660644531</v>
      </c>
      <c r="R25" s="90">
        <v>6.007896900177</v>
      </c>
      <c r="S25" s="90">
        <v>6.11455059051514</v>
      </c>
      <c r="T25" s="90">
        <v>6.13993358612061</v>
      </c>
      <c r="U25" s="90">
        <v>6.17115020751953</v>
      </c>
      <c r="V25" s="90">
        <v>6.23323059082031</v>
      </c>
      <c r="W25" s="90">
        <v>6.40838479995728</v>
      </c>
      <c r="X25" s="90">
        <v>6.48178577423096</v>
      </c>
      <c r="Y25" s="90">
        <v>6.59498453140259</v>
      </c>
      <c r="Z25" s="90">
        <v>6.71537685394287</v>
      </c>
    </row>
    <row r="26" spans="1:26" ht="13.5" customHeight="1">
      <c r="A26" s="86"/>
      <c r="B26" s="90"/>
      <c r="C26" s="90"/>
      <c r="D26" s="90"/>
      <c r="E26" s="90"/>
      <c r="F26" s="90"/>
      <c r="G26" s="90"/>
      <c r="H26" s="90"/>
      <c r="I26" s="90"/>
      <c r="J26" s="90"/>
      <c r="K26" s="90"/>
      <c r="L26" s="90"/>
      <c r="M26" s="90"/>
      <c r="N26" s="90"/>
      <c r="O26" s="90"/>
      <c r="P26" s="90"/>
      <c r="Q26" s="90"/>
      <c r="R26" s="90"/>
      <c r="S26" s="90"/>
      <c r="T26" s="90"/>
      <c r="U26" s="90"/>
      <c r="V26" s="90"/>
      <c r="W26" s="90"/>
      <c r="X26" s="90"/>
      <c r="Y26" s="90"/>
      <c r="Z26" s="90"/>
    </row>
    <row r="27" spans="1:26" ht="13.5" customHeight="1">
      <c r="A27" s="88" t="s">
        <v>513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row>
    <row r="28" spans="1:26" ht="13.5" customHeight="1">
      <c r="A28" s="91" t="str">
        <f>A11</f>
        <v>   Petroleum Coke</v>
      </c>
      <c r="B28" s="92">
        <f>B11/B43</f>
        <v>0.6103778950940421</v>
      </c>
      <c r="C28" s="92">
        <f aca="true" t="shared" si="1" ref="C28:Z28">C11/C43</f>
        <v>0.6085460983540183</v>
      </c>
      <c r="D28" s="92">
        <f t="shared" si="1"/>
        <v>0.6969674975388401</v>
      </c>
      <c r="E28" s="92">
        <f t="shared" si="1"/>
        <v>0.740295531107584</v>
      </c>
      <c r="F28" s="92">
        <f t="shared" si="1"/>
        <v>0.7254582127118001</v>
      </c>
      <c r="G28" s="92">
        <f t="shared" si="1"/>
        <v>0.707148462444468</v>
      </c>
      <c r="H28" s="92">
        <f t="shared" si="1"/>
        <v>0.6839447346297949</v>
      </c>
      <c r="I28" s="92">
        <f t="shared" si="1"/>
        <v>0.6639098839454078</v>
      </c>
      <c r="J28" s="92">
        <f t="shared" si="1"/>
        <v>0.6469508081482198</v>
      </c>
      <c r="K28" s="92">
        <f t="shared" si="1"/>
        <v>0.6403090447645021</v>
      </c>
      <c r="L28" s="92">
        <f t="shared" si="1"/>
        <v>0.6375213552612189</v>
      </c>
      <c r="M28" s="92">
        <f t="shared" si="1"/>
        <v>0.6331429023544958</v>
      </c>
      <c r="N28" s="92">
        <f t="shared" si="1"/>
        <v>0.628513405429174</v>
      </c>
      <c r="O28" s="92">
        <f t="shared" si="1"/>
        <v>0.6282713956549107</v>
      </c>
      <c r="P28" s="92">
        <f t="shared" si="1"/>
        <v>0.6258245695787124</v>
      </c>
      <c r="Q28" s="92">
        <f t="shared" si="1"/>
        <v>0.6196535541418359</v>
      </c>
      <c r="R28" s="92">
        <f t="shared" si="1"/>
        <v>0.6153739163940901</v>
      </c>
      <c r="S28" s="92">
        <f t="shared" si="1"/>
        <v>0.6134204772795604</v>
      </c>
      <c r="T28" s="92">
        <f t="shared" si="1"/>
        <v>0.6108031696588977</v>
      </c>
      <c r="U28" s="92">
        <f t="shared" si="1"/>
        <v>0.611159908900506</v>
      </c>
      <c r="V28" s="92">
        <f t="shared" si="1"/>
        <v>0.6110797996289796</v>
      </c>
      <c r="W28" s="92">
        <f t="shared" si="1"/>
        <v>0.6050437453739756</v>
      </c>
      <c r="X28" s="92">
        <f t="shared" si="1"/>
        <v>0.6073141416226642</v>
      </c>
      <c r="Y28" s="92">
        <f t="shared" si="1"/>
        <v>0.6025569871796411</v>
      </c>
      <c r="Z28" s="92">
        <f t="shared" si="1"/>
        <v>0.6038218520353112</v>
      </c>
    </row>
    <row r="29" spans="1:26" ht="13.5" customHeight="1">
      <c r="A29" s="91" t="str">
        <f>A12</f>
        <v>   Still Gas</v>
      </c>
      <c r="B29" s="92">
        <f>B12/B45</f>
        <v>1</v>
      </c>
      <c r="C29" s="92">
        <f aca="true" t="shared" si="2" ref="C29:Z29">C12/C45</f>
        <v>0.9999999288345727</v>
      </c>
      <c r="D29" s="92">
        <f t="shared" si="2"/>
        <v>0.9999999300728101</v>
      </c>
      <c r="E29" s="92">
        <f t="shared" si="2"/>
        <v>0.9999999300728101</v>
      </c>
      <c r="F29" s="92">
        <f t="shared" si="2"/>
        <v>0.9999999340329631</v>
      </c>
      <c r="G29" s="92">
        <f t="shared" si="2"/>
        <v>0.9999999333664722</v>
      </c>
      <c r="H29" s="92">
        <f t="shared" si="2"/>
        <v>1</v>
      </c>
      <c r="I29" s="92">
        <f t="shared" si="2"/>
        <v>0.9999999282700601</v>
      </c>
      <c r="J29" s="92">
        <f t="shared" si="2"/>
        <v>0.9999999283669004</v>
      </c>
      <c r="K29" s="92">
        <f t="shared" si="2"/>
        <v>1</v>
      </c>
      <c r="L29" s="92">
        <f t="shared" si="2"/>
        <v>1</v>
      </c>
      <c r="M29" s="92">
        <f t="shared" si="2"/>
        <v>1</v>
      </c>
      <c r="N29" s="92">
        <f t="shared" si="2"/>
        <v>0.9999999256745681</v>
      </c>
      <c r="O29" s="92">
        <f t="shared" si="2"/>
        <v>1</v>
      </c>
      <c r="P29" s="92">
        <f t="shared" si="2"/>
        <v>0.999999925935565</v>
      </c>
      <c r="Q29" s="92">
        <f t="shared" si="2"/>
        <v>0.9999999259022033</v>
      </c>
      <c r="R29" s="92">
        <f t="shared" si="2"/>
        <v>1</v>
      </c>
      <c r="S29" s="92">
        <f t="shared" si="2"/>
        <v>1</v>
      </c>
      <c r="T29" s="92">
        <f t="shared" si="2"/>
        <v>1</v>
      </c>
      <c r="U29" s="92">
        <f t="shared" si="2"/>
        <v>0.999999924385633</v>
      </c>
      <c r="V29" s="92">
        <f t="shared" si="2"/>
        <v>0.9999999246460982</v>
      </c>
      <c r="W29" s="92">
        <f t="shared" si="2"/>
        <v>0.9999999237234429</v>
      </c>
      <c r="X29" s="92">
        <f t="shared" si="2"/>
        <v>0.9999999240014337</v>
      </c>
      <c r="Y29" s="92">
        <f t="shared" si="2"/>
        <v>0.999999927955354</v>
      </c>
      <c r="Z29" s="92">
        <f t="shared" si="2"/>
        <v>1</v>
      </c>
    </row>
    <row r="30" spans="1:26" ht="13.5" customHeight="1">
      <c r="A30" s="91" t="str">
        <f>A14</f>
        <v>     Petroleum Subtotal</v>
      </c>
      <c r="B30" s="92">
        <f>B14/B47</f>
        <v>0.22918152261249233</v>
      </c>
      <c r="C30" s="92">
        <f aca="true" t="shared" si="3" ref="C30:Z30">C14/C47</f>
        <v>0.2283177544226331</v>
      </c>
      <c r="D30" s="92">
        <f t="shared" si="3"/>
        <v>0.2533992100162264</v>
      </c>
      <c r="E30" s="92">
        <f t="shared" si="3"/>
        <v>0.26889682123186665</v>
      </c>
      <c r="F30" s="92">
        <f t="shared" si="3"/>
        <v>0.2925812621995955</v>
      </c>
      <c r="G30" s="92">
        <f t="shared" si="3"/>
        <v>0.2843878739792314</v>
      </c>
      <c r="H30" s="92">
        <f t="shared" si="3"/>
        <v>0.2710087318350854</v>
      </c>
      <c r="I30" s="92">
        <f t="shared" si="3"/>
        <v>0.2623388277858412</v>
      </c>
      <c r="J30" s="92">
        <f t="shared" si="3"/>
        <v>0.2652001456306659</v>
      </c>
      <c r="K30" s="92">
        <f t="shared" si="3"/>
        <v>0.2659435399209311</v>
      </c>
      <c r="L30" s="92">
        <f t="shared" si="3"/>
        <v>0.2676436405249666</v>
      </c>
      <c r="M30" s="92">
        <f t="shared" si="3"/>
        <v>0.26521387441559735</v>
      </c>
      <c r="N30" s="92">
        <f t="shared" si="3"/>
        <v>0.26546175519884807</v>
      </c>
      <c r="O30" s="92">
        <f t="shared" si="3"/>
        <v>0.26674962852337697</v>
      </c>
      <c r="P30" s="92">
        <f t="shared" si="3"/>
        <v>0.2653067682420035</v>
      </c>
      <c r="Q30" s="92">
        <f t="shared" si="3"/>
        <v>0.2641269897049389</v>
      </c>
      <c r="R30" s="92">
        <f t="shared" si="3"/>
        <v>0.2609311337333254</v>
      </c>
      <c r="S30" s="92">
        <f t="shared" si="3"/>
        <v>0.2621744471015477</v>
      </c>
      <c r="T30" s="92">
        <f t="shared" si="3"/>
        <v>0.2626261385147477</v>
      </c>
      <c r="U30" s="92">
        <f t="shared" si="3"/>
        <v>0.26494347584377165</v>
      </c>
      <c r="V30" s="92">
        <f t="shared" si="3"/>
        <v>0.26700723721357594</v>
      </c>
      <c r="W30" s="92">
        <f t="shared" si="3"/>
        <v>0.26590304603458326</v>
      </c>
      <c r="X30" s="92">
        <f t="shared" si="3"/>
        <v>0.26893962349456246</v>
      </c>
      <c r="Y30" s="92">
        <f t="shared" si="3"/>
        <v>0.2788205068443612</v>
      </c>
      <c r="Z30" s="92">
        <f t="shared" si="3"/>
        <v>0.278671699845253</v>
      </c>
    </row>
    <row r="31" spans="1:26" ht="13.5" customHeight="1">
      <c r="A31" s="91" t="str">
        <f>A17</f>
        <v>     Natural Gas Subtotal</v>
      </c>
      <c r="B31" s="92">
        <f>B17/B52</f>
        <v>0.1410798207390893</v>
      </c>
      <c r="C31" s="92">
        <f aca="true" t="shared" si="4" ref="C31:Z31">C17/C52</f>
        <v>0.1406598170513154</v>
      </c>
      <c r="D31" s="92">
        <f t="shared" si="4"/>
        <v>0.15557118970179473</v>
      </c>
      <c r="E31" s="92">
        <f t="shared" si="4"/>
        <v>0.17118862860078962</v>
      </c>
      <c r="F31" s="92">
        <f t="shared" si="4"/>
        <v>0.13089907995113118</v>
      </c>
      <c r="G31" s="92">
        <f t="shared" si="4"/>
        <v>0.1463541569467477</v>
      </c>
      <c r="H31" s="92">
        <f t="shared" si="4"/>
        <v>0.15334626074563726</v>
      </c>
      <c r="I31" s="92">
        <f t="shared" si="4"/>
        <v>0.15809173505552057</v>
      </c>
      <c r="J31" s="92">
        <f t="shared" si="4"/>
        <v>0.1571514802936014</v>
      </c>
      <c r="K31" s="92">
        <f t="shared" si="4"/>
        <v>0.16048822282709774</v>
      </c>
      <c r="L31" s="92">
        <f t="shared" si="4"/>
        <v>0.16205099420592597</v>
      </c>
      <c r="M31" s="92">
        <f t="shared" si="4"/>
        <v>0.1635101829568124</v>
      </c>
      <c r="N31" s="92">
        <f t="shared" si="4"/>
        <v>0.16388639565123944</v>
      </c>
      <c r="O31" s="92">
        <f t="shared" si="4"/>
        <v>0.16335332652247753</v>
      </c>
      <c r="P31" s="92">
        <f t="shared" si="4"/>
        <v>0.16496238113045097</v>
      </c>
      <c r="Q31" s="92">
        <f t="shared" si="4"/>
        <v>0.16765238683974185</v>
      </c>
      <c r="R31" s="92">
        <f t="shared" si="4"/>
        <v>0.17094481622796173</v>
      </c>
      <c r="S31" s="92">
        <f t="shared" si="4"/>
        <v>0.1701196201751139</v>
      </c>
      <c r="T31" s="92">
        <f t="shared" si="4"/>
        <v>0.1715831219209615</v>
      </c>
      <c r="U31" s="92">
        <f t="shared" si="4"/>
        <v>0.1681193502944241</v>
      </c>
      <c r="V31" s="92">
        <f t="shared" si="4"/>
        <v>0.16918728720761433</v>
      </c>
      <c r="W31" s="92">
        <f t="shared" si="4"/>
        <v>0.17668880180644816</v>
      </c>
      <c r="X31" s="92">
        <f t="shared" si="4"/>
        <v>0.1776585170420184</v>
      </c>
      <c r="Y31" s="92">
        <f t="shared" si="4"/>
        <v>0.16831577337847584</v>
      </c>
      <c r="Z31" s="92">
        <f t="shared" si="4"/>
        <v>0.1777024548449453</v>
      </c>
    </row>
    <row r="32" spans="1:26" ht="13.5" customHeight="1">
      <c r="A32" s="91" t="str">
        <f>A20</f>
        <v>     Coal Subtotal</v>
      </c>
      <c r="B32" s="92">
        <f>B20/B56</f>
        <v>0.03252237304671857</v>
      </c>
      <c r="C32" s="92">
        <f aca="true" t="shared" si="5" ref="C32:Z32">C20/C56</f>
        <v>0.03404103842918731</v>
      </c>
      <c r="D32" s="92">
        <f t="shared" si="5"/>
        <v>0.03435708855263358</v>
      </c>
      <c r="E32" s="92">
        <f t="shared" si="5"/>
        <v>0.04148036953697761</v>
      </c>
      <c r="F32" s="92">
        <f t="shared" si="5"/>
        <v>0.03906435358057523</v>
      </c>
      <c r="G32" s="92">
        <f t="shared" si="5"/>
        <v>0.04088099953980942</v>
      </c>
      <c r="H32" s="92">
        <f t="shared" si="5"/>
        <v>0.05103600206298089</v>
      </c>
      <c r="I32" s="92">
        <f t="shared" si="5"/>
        <v>0.07107645088416163</v>
      </c>
      <c r="J32" s="92">
        <f t="shared" si="5"/>
        <v>0.11891546970249044</v>
      </c>
      <c r="K32" s="92">
        <f t="shared" si="5"/>
        <v>0.12671584585424311</v>
      </c>
      <c r="L32" s="92">
        <f t="shared" si="5"/>
        <v>0.13421304373260098</v>
      </c>
      <c r="M32" s="92">
        <f t="shared" si="5"/>
        <v>0.14138008672634514</v>
      </c>
      <c r="N32" s="92">
        <f t="shared" si="5"/>
        <v>0.1488557823907711</v>
      </c>
      <c r="O32" s="92">
        <f t="shared" si="5"/>
        <v>0.1569698770407905</v>
      </c>
      <c r="P32" s="92">
        <f t="shared" si="5"/>
        <v>0.16513844279066747</v>
      </c>
      <c r="Q32" s="92">
        <f t="shared" si="5"/>
        <v>0.17401061984784236</v>
      </c>
      <c r="R32" s="92">
        <f t="shared" si="5"/>
        <v>0.18329961135384154</v>
      </c>
      <c r="S32" s="92">
        <f t="shared" si="5"/>
        <v>0.19217118897195917</v>
      </c>
      <c r="T32" s="92">
        <f t="shared" si="5"/>
        <v>0.2012135873929759</v>
      </c>
      <c r="U32" s="92">
        <f t="shared" si="5"/>
        <v>0.2109592766967089</v>
      </c>
      <c r="V32" s="92">
        <f t="shared" si="5"/>
        <v>0.2216226508637947</v>
      </c>
      <c r="W32" s="92">
        <f t="shared" si="5"/>
        <v>0.23273845123522227</v>
      </c>
      <c r="X32" s="92">
        <f t="shared" si="5"/>
        <v>0.24419601387184528</v>
      </c>
      <c r="Y32" s="92">
        <f t="shared" si="5"/>
        <v>0.2556793190151738</v>
      </c>
      <c r="Z32" s="92">
        <f t="shared" si="5"/>
        <v>0.2670082587363967</v>
      </c>
    </row>
    <row r="33" spans="1:26" ht="13.5" customHeight="1">
      <c r="A33" s="91" t="str">
        <f>A22</f>
        <v>   Purchased Electricity</v>
      </c>
      <c r="B33" s="92">
        <f>B22/B59</f>
        <v>0.042479135701221075</v>
      </c>
      <c r="C33" s="92">
        <f aca="true" t="shared" si="6" ref="C33:Z34">C22/C59</f>
        <v>0.046769428572758565</v>
      </c>
      <c r="D33" s="92">
        <f t="shared" si="6"/>
        <v>0.04936066939095396</v>
      </c>
      <c r="E33" s="92">
        <f t="shared" si="6"/>
        <v>0.0556636594529822</v>
      </c>
      <c r="F33" s="92">
        <f t="shared" si="6"/>
        <v>0.05710936905623046</v>
      </c>
      <c r="G33" s="92">
        <f t="shared" si="6"/>
        <v>0.05763886724729296</v>
      </c>
      <c r="H33" s="92">
        <f t="shared" si="6"/>
        <v>0.056667058687116204</v>
      </c>
      <c r="I33" s="92">
        <f t="shared" si="6"/>
        <v>0.05568236877992352</v>
      </c>
      <c r="J33" s="92">
        <f t="shared" si="6"/>
        <v>0.0553204681784738</v>
      </c>
      <c r="K33" s="92">
        <f t="shared" si="6"/>
        <v>0.058332679627105324</v>
      </c>
      <c r="L33" s="92">
        <f t="shared" si="6"/>
        <v>0.05877353476992996</v>
      </c>
      <c r="M33" s="92">
        <f t="shared" si="6"/>
        <v>0.05838541547361481</v>
      </c>
      <c r="N33" s="92">
        <f t="shared" si="6"/>
        <v>0.05903915682038019</v>
      </c>
      <c r="O33" s="92">
        <f t="shared" si="6"/>
        <v>0.05867613851837759</v>
      </c>
      <c r="P33" s="92">
        <f t="shared" si="6"/>
        <v>0.0585405742715897</v>
      </c>
      <c r="Q33" s="92">
        <f t="shared" si="6"/>
        <v>0.05933716715825709</v>
      </c>
      <c r="R33" s="92">
        <f t="shared" si="6"/>
        <v>0.059632787363281314</v>
      </c>
      <c r="S33" s="92">
        <f t="shared" si="6"/>
        <v>0.0598400476916043</v>
      </c>
      <c r="T33" s="92">
        <f t="shared" si="6"/>
        <v>0.06034067507189249</v>
      </c>
      <c r="U33" s="92">
        <f t="shared" si="6"/>
        <v>0.06033352931976287</v>
      </c>
      <c r="V33" s="92">
        <f t="shared" si="6"/>
        <v>0.060619188265033035</v>
      </c>
      <c r="W33" s="92">
        <f t="shared" si="6"/>
        <v>0.06306709381758803</v>
      </c>
      <c r="X33" s="92">
        <f t="shared" si="6"/>
        <v>0.06395225278130424</v>
      </c>
      <c r="Y33" s="92">
        <f t="shared" si="6"/>
        <v>0.06573434578745313</v>
      </c>
      <c r="Z33" s="92">
        <f t="shared" si="6"/>
        <v>0.0662817224518258</v>
      </c>
    </row>
    <row r="34" spans="1:26" ht="13.5" customHeight="1">
      <c r="A34" s="91" t="str">
        <f>A23</f>
        <v>     Delivered Energy</v>
      </c>
      <c r="B34" s="92">
        <f>B23/B60</f>
        <v>0.1554222031831802</v>
      </c>
      <c r="C34" s="92">
        <f t="shared" si="6"/>
        <v>0.1592233217683122</v>
      </c>
      <c r="D34" s="92">
        <f t="shared" si="6"/>
        <v>0.1877336277389973</v>
      </c>
      <c r="E34" s="92">
        <f t="shared" si="6"/>
        <v>0.19592770388764913</v>
      </c>
      <c r="F34" s="92">
        <f t="shared" si="6"/>
        <v>0.1936468315322733</v>
      </c>
      <c r="G34" s="92">
        <f t="shared" si="6"/>
        <v>0.19841351699483362</v>
      </c>
      <c r="H34" s="92">
        <f t="shared" si="6"/>
        <v>0.1950255253908455</v>
      </c>
      <c r="I34" s="92">
        <f t="shared" si="6"/>
        <v>0.19410481348547787</v>
      </c>
      <c r="J34" s="92">
        <f t="shared" si="6"/>
        <v>0.19763289916652493</v>
      </c>
      <c r="K34" s="92">
        <f t="shared" si="6"/>
        <v>0.20023606100137759</v>
      </c>
      <c r="L34" s="92">
        <f t="shared" si="6"/>
        <v>0.20294429972887787</v>
      </c>
      <c r="M34" s="92">
        <f t="shared" si="6"/>
        <v>0.20353080172472762</v>
      </c>
      <c r="N34" s="92">
        <f t="shared" si="6"/>
        <v>0.20601901703703185</v>
      </c>
      <c r="O34" s="92">
        <f t="shared" si="6"/>
        <v>0.20910824818469642</v>
      </c>
      <c r="P34" s="92">
        <f t="shared" si="6"/>
        <v>0.21461841211615823</v>
      </c>
      <c r="Q34" s="92">
        <f t="shared" si="6"/>
        <v>0.22010006372185204</v>
      </c>
      <c r="R34" s="92">
        <f t="shared" si="6"/>
        <v>0.22640120842940506</v>
      </c>
      <c r="S34" s="92">
        <f t="shared" si="6"/>
        <v>0.2288403255825762</v>
      </c>
      <c r="T34" s="92">
        <f t="shared" si="6"/>
        <v>0.22895260321854866</v>
      </c>
      <c r="U34" s="92">
        <f t="shared" si="6"/>
        <v>0.22943514851454916</v>
      </c>
      <c r="V34" s="92">
        <f t="shared" si="6"/>
        <v>0.23192408588348493</v>
      </c>
      <c r="W34" s="92">
        <f t="shared" si="6"/>
        <v>0.23784651721693056</v>
      </c>
      <c r="X34" s="92">
        <f t="shared" si="6"/>
        <v>0.2413538401791216</v>
      </c>
      <c r="Y34" s="92">
        <f t="shared" si="6"/>
        <v>0.24616526133863437</v>
      </c>
      <c r="Z34" s="92">
        <f t="shared" si="6"/>
        <v>0.25122886969732544</v>
      </c>
    </row>
    <row r="36" ht="13.5" customHeight="1">
      <c r="A36" s="88" t="s">
        <v>514</v>
      </c>
    </row>
    <row r="37" spans="1:26" ht="13.5" customHeight="1">
      <c r="A37" s="86" t="s">
        <v>505</v>
      </c>
      <c r="B37" s="90">
        <v>0.17631259560585</v>
      </c>
      <c r="C37" s="90">
        <v>0.189138814806938</v>
      </c>
      <c r="D37" s="90">
        <v>0.168487295508385</v>
      </c>
      <c r="E37" s="90">
        <v>0.333398371934891</v>
      </c>
      <c r="F37" s="90">
        <v>0.208127915859222</v>
      </c>
      <c r="G37" s="90">
        <v>0.217763721942902</v>
      </c>
      <c r="H37" s="90">
        <v>0.219600915908813</v>
      </c>
      <c r="I37" s="90">
        <v>0.222077235579491</v>
      </c>
      <c r="J37" s="90">
        <v>0.223556354641914</v>
      </c>
      <c r="K37" s="90">
        <v>0.224391922354698</v>
      </c>
      <c r="L37" s="90">
        <v>0.221161589026451</v>
      </c>
      <c r="M37" s="90">
        <v>0.217023611068726</v>
      </c>
      <c r="N37" s="90">
        <v>0.216955557465553</v>
      </c>
      <c r="O37" s="90">
        <v>0.203834682703018</v>
      </c>
      <c r="P37" s="90">
        <v>0.209508389234543</v>
      </c>
      <c r="Q37" s="90">
        <v>0.196044191718102</v>
      </c>
      <c r="R37" s="90">
        <v>0.19868266582489</v>
      </c>
      <c r="S37" s="90">
        <v>0.199737027287483</v>
      </c>
      <c r="T37" s="90">
        <v>0.215435013175011</v>
      </c>
      <c r="U37" s="90">
        <v>0.213863983750343</v>
      </c>
      <c r="V37" s="90">
        <v>0.215927481651306</v>
      </c>
      <c r="W37" s="90">
        <v>0.215264692902565</v>
      </c>
      <c r="X37" s="90">
        <v>0.217177957296371</v>
      </c>
      <c r="Y37" s="90">
        <v>0.20504005253315</v>
      </c>
      <c r="Z37" s="90">
        <v>0.179708212614059</v>
      </c>
    </row>
    <row r="38" spans="1:26" ht="13.5" customHeight="1">
      <c r="A38" s="86" t="s">
        <v>515</v>
      </c>
      <c r="B38" s="90">
        <v>2.15586709976196</v>
      </c>
      <c r="C38" s="90">
        <v>2.15902018547058</v>
      </c>
      <c r="D38" s="90">
        <v>2.07480931282043</v>
      </c>
      <c r="E38" s="90">
        <v>1.63115811347961</v>
      </c>
      <c r="F38" s="90">
        <v>1.64843463897705</v>
      </c>
      <c r="G38" s="90">
        <v>1.65007793903351</v>
      </c>
      <c r="H38" s="90">
        <v>1.68945848941803</v>
      </c>
      <c r="I38" s="90">
        <v>1.73391807079315</v>
      </c>
      <c r="J38" s="90">
        <v>1.69196236133575</v>
      </c>
      <c r="K38" s="90">
        <v>1.6277266740799</v>
      </c>
      <c r="L38" s="90">
        <v>1.58245933055878</v>
      </c>
      <c r="M38" s="90">
        <v>1.55898523330688</v>
      </c>
      <c r="N38" s="90">
        <v>1.52853810787201</v>
      </c>
      <c r="O38" s="90">
        <v>1.50345206260681</v>
      </c>
      <c r="P38" s="90">
        <v>1.50713729858398</v>
      </c>
      <c r="Q38" s="90">
        <v>1.49834740161896</v>
      </c>
      <c r="R38" s="90">
        <v>1.48551940917969</v>
      </c>
      <c r="S38" s="90">
        <v>1.47669160366058</v>
      </c>
      <c r="T38" s="90">
        <v>1.46403062343597</v>
      </c>
      <c r="U38" s="90">
        <v>1.44794118404388</v>
      </c>
      <c r="V38" s="90">
        <v>1.41327941417694</v>
      </c>
      <c r="W38" s="90">
        <v>1.3721307516098</v>
      </c>
      <c r="X38" s="90">
        <v>1.33758699893951</v>
      </c>
      <c r="Y38" s="90">
        <v>1.30280220508575</v>
      </c>
      <c r="Z38" s="90">
        <v>1.26496529579163</v>
      </c>
    </row>
    <row r="39" spans="1:26" ht="13.5" customHeight="1">
      <c r="A39" s="86" t="s">
        <v>516</v>
      </c>
      <c r="B39" s="90">
        <v>0.359800040721893</v>
      </c>
      <c r="C39" s="90">
        <v>0.361299961805344</v>
      </c>
      <c r="D39" s="90">
        <v>0.349789321422577</v>
      </c>
      <c r="E39" s="90">
        <v>0.349543064832687</v>
      </c>
      <c r="F39" s="90">
        <v>0.340106308460236</v>
      </c>
      <c r="G39" s="90">
        <v>0.352943986654282</v>
      </c>
      <c r="H39" s="90">
        <v>0.356403917074203</v>
      </c>
      <c r="I39" s="90">
        <v>0.353890508413315</v>
      </c>
      <c r="J39" s="90">
        <v>0.342090874910355</v>
      </c>
      <c r="K39" s="90">
        <v>0.341758251190186</v>
      </c>
      <c r="L39" s="90">
        <v>0.342452168464661</v>
      </c>
      <c r="M39" s="90">
        <v>0.342184066772461</v>
      </c>
      <c r="N39" s="90">
        <v>0.343035608530045</v>
      </c>
      <c r="O39" s="90">
        <v>0.344264894723892</v>
      </c>
      <c r="P39" s="90">
        <v>0.344956129789352</v>
      </c>
      <c r="Q39" s="90">
        <v>0.34342560172081</v>
      </c>
      <c r="R39" s="90">
        <v>0.342078030109406</v>
      </c>
      <c r="S39" s="90">
        <v>0.342466354370117</v>
      </c>
      <c r="T39" s="90">
        <v>0.343370884656906</v>
      </c>
      <c r="U39" s="90">
        <v>0.345625460147858</v>
      </c>
      <c r="V39" s="90">
        <v>0.348521947860718</v>
      </c>
      <c r="W39" s="90">
        <v>0.350882440805435</v>
      </c>
      <c r="X39" s="90">
        <v>0.351743549108505</v>
      </c>
      <c r="Y39" s="90">
        <v>0.352647960186005</v>
      </c>
      <c r="Z39" s="90">
        <v>0.354940921068192</v>
      </c>
    </row>
    <row r="40" spans="1:26" ht="13.5" customHeight="1">
      <c r="A40" s="86" t="s">
        <v>506</v>
      </c>
      <c r="B40" s="90">
        <v>1.26290023326874</v>
      </c>
      <c r="C40" s="90">
        <v>1.27580010890961</v>
      </c>
      <c r="D40" s="90">
        <v>1.20049440860748</v>
      </c>
      <c r="E40" s="90">
        <v>1.17147433757782</v>
      </c>
      <c r="F40" s="90">
        <v>1.15287530422211</v>
      </c>
      <c r="G40" s="90">
        <v>1.19926714897156</v>
      </c>
      <c r="H40" s="90">
        <v>1.21920192241669</v>
      </c>
      <c r="I40" s="90">
        <v>1.22098863124847</v>
      </c>
      <c r="J40" s="90">
        <v>1.19498634338379</v>
      </c>
      <c r="K40" s="90">
        <v>1.19136810302734</v>
      </c>
      <c r="L40" s="90">
        <v>1.19186019897461</v>
      </c>
      <c r="M40" s="90">
        <v>1.19040310382843</v>
      </c>
      <c r="N40" s="90">
        <v>1.19167149066925</v>
      </c>
      <c r="O40" s="90">
        <v>1.19416952133179</v>
      </c>
      <c r="P40" s="90">
        <v>1.19578421115875</v>
      </c>
      <c r="Q40" s="90">
        <v>1.1903110742569</v>
      </c>
      <c r="R40" s="90">
        <v>1.18500673770905</v>
      </c>
      <c r="S40" s="90">
        <v>1.18479001522064</v>
      </c>
      <c r="T40" s="90">
        <v>1.18882942199707</v>
      </c>
      <c r="U40" s="90">
        <v>1.19982874393463</v>
      </c>
      <c r="V40" s="90">
        <v>1.20848858356476</v>
      </c>
      <c r="W40" s="90">
        <v>1.21566212177277</v>
      </c>
      <c r="X40" s="90">
        <v>1.21743655204773</v>
      </c>
      <c r="Y40" s="90">
        <v>1.21910870075226</v>
      </c>
      <c r="Z40" s="90">
        <v>1.22537231445313</v>
      </c>
    </row>
    <row r="41" spans="1:26" ht="13.5" customHeight="1">
      <c r="A41" s="86" t="s">
        <v>443</v>
      </c>
      <c r="B41" s="90">
        <v>0.23929999768734</v>
      </c>
      <c r="C41" s="90">
        <v>0.251199990510941</v>
      </c>
      <c r="D41" s="90">
        <v>0.215327769517899</v>
      </c>
      <c r="E41" s="90">
        <v>0.192984789609909</v>
      </c>
      <c r="F41" s="90">
        <v>0.174734011292458</v>
      </c>
      <c r="G41" s="90">
        <v>0.166956394910812</v>
      </c>
      <c r="H41" s="90">
        <v>0.165125414729118</v>
      </c>
      <c r="I41" s="90">
        <v>0.164985418319702</v>
      </c>
      <c r="J41" s="90">
        <v>0.164087846875191</v>
      </c>
      <c r="K41" s="90">
        <v>0.159659862518311</v>
      </c>
      <c r="L41" s="90">
        <v>0.157395154237747</v>
      </c>
      <c r="M41" s="90">
        <v>0.156504556536674</v>
      </c>
      <c r="N41" s="90">
        <v>0.155421376228333</v>
      </c>
      <c r="O41" s="90">
        <v>0.155614048242569</v>
      </c>
      <c r="P41" s="90">
        <v>0.15699428319931</v>
      </c>
      <c r="Q41" s="90">
        <v>0.15723517537117</v>
      </c>
      <c r="R41" s="90">
        <v>0.156917706131935</v>
      </c>
      <c r="S41" s="90">
        <v>0.155337646603584</v>
      </c>
      <c r="T41" s="90">
        <v>0.15487103164196</v>
      </c>
      <c r="U41" s="90">
        <v>0.154108554124832</v>
      </c>
      <c r="V41" s="90">
        <v>0.15328873693943</v>
      </c>
      <c r="W41" s="90">
        <v>0.152943044900894</v>
      </c>
      <c r="X41" s="90">
        <v>0.152637705206871</v>
      </c>
      <c r="Y41" s="90">
        <v>0.151884511113167</v>
      </c>
      <c r="Z41" s="90">
        <v>0.151251956820488</v>
      </c>
    </row>
    <row r="42" spans="1:26" ht="13.5" customHeight="1">
      <c r="A42" s="86" t="s">
        <v>517</v>
      </c>
      <c r="B42" s="90">
        <v>1.41950011253357</v>
      </c>
      <c r="C42" s="90">
        <v>1.30360007286072</v>
      </c>
      <c r="D42" s="90">
        <v>1.10579991340637</v>
      </c>
      <c r="E42" s="90">
        <v>1.04567730426788</v>
      </c>
      <c r="F42" s="90">
        <v>1.04720509052277</v>
      </c>
      <c r="G42" s="90">
        <v>1.06109929084778</v>
      </c>
      <c r="H42" s="90">
        <v>1.09136688709259</v>
      </c>
      <c r="I42" s="90">
        <v>1.12767684459686</v>
      </c>
      <c r="J42" s="90">
        <v>1.11120200157166</v>
      </c>
      <c r="K42" s="90">
        <v>1.08023738861084</v>
      </c>
      <c r="L42" s="90">
        <v>1.06327044963837</v>
      </c>
      <c r="M42" s="90">
        <v>1.05888295173645</v>
      </c>
      <c r="N42" s="90">
        <v>1.05031073093414</v>
      </c>
      <c r="O42" s="90">
        <v>1.0450793504715</v>
      </c>
      <c r="P42" s="90">
        <v>1.0521605014801</v>
      </c>
      <c r="Q42" s="90">
        <v>1.0463695526123</v>
      </c>
      <c r="R42" s="90">
        <v>1.03677475452423</v>
      </c>
      <c r="S42" s="90">
        <v>1.03146803379059</v>
      </c>
      <c r="T42" s="90">
        <v>1.02265083789825</v>
      </c>
      <c r="U42" s="90">
        <v>1.01150417327881</v>
      </c>
      <c r="V42" s="90">
        <v>0.986242830753326</v>
      </c>
      <c r="W42" s="90">
        <v>0.956594169139862</v>
      </c>
      <c r="X42" s="90">
        <v>0.931800127029419</v>
      </c>
      <c r="Y42" s="90">
        <v>0.907312572002411</v>
      </c>
      <c r="Z42" s="90">
        <v>0.880175888538361</v>
      </c>
    </row>
    <row r="43" spans="1:26" ht="13.5" customHeight="1">
      <c r="A43" s="86" t="s">
        <v>444</v>
      </c>
      <c r="B43" s="90">
        <v>0.934100031852722</v>
      </c>
      <c r="C43" s="90">
        <v>0.909300029277802</v>
      </c>
      <c r="D43" s="90">
        <v>0.826140344142914</v>
      </c>
      <c r="E43" s="90">
        <v>0.777787983417511</v>
      </c>
      <c r="F43" s="90">
        <v>0.746139824390411</v>
      </c>
      <c r="G43" s="90">
        <v>0.771545052528381</v>
      </c>
      <c r="H43" s="90">
        <v>0.78799045085907</v>
      </c>
      <c r="I43" s="90">
        <v>0.806610763072968</v>
      </c>
      <c r="J43" s="90">
        <v>0.820778012275696</v>
      </c>
      <c r="K43" s="90">
        <v>0.80066180229187</v>
      </c>
      <c r="L43" s="90">
        <v>0.794486284255981</v>
      </c>
      <c r="M43" s="90">
        <v>0.787995040416718</v>
      </c>
      <c r="N43" s="90">
        <v>0.781067073345184</v>
      </c>
      <c r="O43" s="90">
        <v>0.783033967018127</v>
      </c>
      <c r="P43" s="90">
        <v>0.783324718475342</v>
      </c>
      <c r="Q43" s="90">
        <v>0.769654929637909</v>
      </c>
      <c r="R43" s="90">
        <v>0.760448753833771</v>
      </c>
      <c r="S43" s="90">
        <v>0.757347345352173</v>
      </c>
      <c r="T43" s="90">
        <v>0.753167867660522</v>
      </c>
      <c r="U43" s="90">
        <v>0.755406379699707</v>
      </c>
      <c r="V43" s="90">
        <v>0.754673004150391</v>
      </c>
      <c r="W43" s="90">
        <v>0.740061402320862</v>
      </c>
      <c r="X43" s="90">
        <v>0.739147663116455</v>
      </c>
      <c r="Y43" s="90">
        <v>0.72352522611618</v>
      </c>
      <c r="Z43" s="90">
        <v>0.720419108867645</v>
      </c>
    </row>
    <row r="44" spans="1:26" ht="13.5" customHeight="1">
      <c r="A44" s="86" t="s">
        <v>518</v>
      </c>
      <c r="B44" s="90">
        <v>1.26120007038116</v>
      </c>
      <c r="C44" s="90">
        <v>1.18790006637573</v>
      </c>
      <c r="D44" s="90">
        <v>1.0024995803833</v>
      </c>
      <c r="E44" s="90">
        <v>0.910848379135132</v>
      </c>
      <c r="F44" s="90">
        <v>0.871883928775787</v>
      </c>
      <c r="G44" s="90">
        <v>1.00510013103485</v>
      </c>
      <c r="H44" s="90">
        <v>1.10068464279175</v>
      </c>
      <c r="I44" s="90">
        <v>1.16020154953003</v>
      </c>
      <c r="J44" s="90">
        <v>1.16593086719513</v>
      </c>
      <c r="K44" s="90">
        <v>1.15992879867554</v>
      </c>
      <c r="L44" s="90">
        <v>1.15392303466797</v>
      </c>
      <c r="M44" s="90">
        <v>1.1458785533905</v>
      </c>
      <c r="N44" s="90">
        <v>1.14423859119415</v>
      </c>
      <c r="O44" s="90">
        <v>1.14542555809021</v>
      </c>
      <c r="P44" s="90">
        <v>1.13969898223877</v>
      </c>
      <c r="Q44" s="90">
        <v>1.12191331386566</v>
      </c>
      <c r="R44" s="90">
        <v>1.10308086872101</v>
      </c>
      <c r="S44" s="90">
        <v>1.09328651428223</v>
      </c>
      <c r="T44" s="90">
        <v>1.09272944927216</v>
      </c>
      <c r="U44" s="90">
        <v>1.10461902618408</v>
      </c>
      <c r="V44" s="90">
        <v>1.11499857902527</v>
      </c>
      <c r="W44" s="90">
        <v>1.11812651157379</v>
      </c>
      <c r="X44" s="90">
        <v>1.11526572704315</v>
      </c>
      <c r="Y44" s="90">
        <v>1.11288297176361</v>
      </c>
      <c r="Z44" s="90">
        <v>1.11857497692108</v>
      </c>
    </row>
    <row r="45" spans="1:26" ht="13.5" customHeight="1">
      <c r="A45" s="86" t="s">
        <v>445</v>
      </c>
      <c r="B45" s="90">
        <v>1.68924808502197</v>
      </c>
      <c r="C45" s="90">
        <v>1.67510116100311</v>
      </c>
      <c r="D45" s="90">
        <v>1.70476305484772</v>
      </c>
      <c r="E45" s="90">
        <v>1.70476305484772</v>
      </c>
      <c r="F45" s="90">
        <v>1.8071037530899</v>
      </c>
      <c r="G45" s="90">
        <v>1.78902864456177</v>
      </c>
      <c r="H45" s="90">
        <v>1.70876944065094</v>
      </c>
      <c r="I45" s="90">
        <v>1.66191816329956</v>
      </c>
      <c r="J45" s="90">
        <v>1.66416490077972</v>
      </c>
      <c r="K45" s="90">
        <v>1.6408109664917</v>
      </c>
      <c r="L45" s="90">
        <v>1.64053189754486</v>
      </c>
      <c r="M45" s="90">
        <v>1.60909426212311</v>
      </c>
      <c r="N45" s="90">
        <v>1.60388290882111</v>
      </c>
      <c r="O45" s="90">
        <v>1.62227237224579</v>
      </c>
      <c r="P45" s="90">
        <v>1.60953485965729</v>
      </c>
      <c r="Q45" s="90">
        <v>1.60881018638611</v>
      </c>
      <c r="R45" s="90">
        <v>1.56169545650482</v>
      </c>
      <c r="S45" s="90">
        <v>1.5661758184433</v>
      </c>
      <c r="T45" s="90">
        <v>1.55296671390533</v>
      </c>
      <c r="U45" s="90">
        <v>1.57654285430908</v>
      </c>
      <c r="V45" s="90">
        <v>1.58199226856232</v>
      </c>
      <c r="W45" s="90">
        <v>1.56285619735718</v>
      </c>
      <c r="X45" s="90">
        <v>1.56857287883759</v>
      </c>
      <c r="Y45" s="90">
        <v>1.6546585559845</v>
      </c>
      <c r="Z45" s="90">
        <v>1.65745866298676</v>
      </c>
    </row>
    <row r="46" spans="1:26" ht="13.5" customHeight="1">
      <c r="A46" s="86" t="s">
        <v>446</v>
      </c>
      <c r="B46" s="90">
        <v>0.62850022315979</v>
      </c>
      <c r="C46" s="90">
        <v>0.645500004291534</v>
      </c>
      <c r="D46" s="90">
        <v>0.596683740615845</v>
      </c>
      <c r="E46" s="90">
        <v>0.594345390796661</v>
      </c>
      <c r="F46" s="90">
        <v>0.341475754976273</v>
      </c>
      <c r="G46" s="90">
        <v>0.320196002721786</v>
      </c>
      <c r="H46" s="90">
        <v>0.298255294561386</v>
      </c>
      <c r="I46" s="90">
        <v>0.283241927623749</v>
      </c>
      <c r="J46" s="90">
        <v>0.265368163585663</v>
      </c>
      <c r="K46" s="90">
        <v>0.247294962406158</v>
      </c>
      <c r="L46" s="90">
        <v>0.237778946757317</v>
      </c>
      <c r="M46" s="90">
        <v>0.233794555068016</v>
      </c>
      <c r="N46" s="90">
        <v>0.229385569691658</v>
      </c>
      <c r="O46" s="90">
        <v>0.230255916714668</v>
      </c>
      <c r="P46" s="90">
        <v>0.236037760972977</v>
      </c>
      <c r="Q46" s="90">
        <v>0.236553952097893</v>
      </c>
      <c r="R46" s="90">
        <v>0.235185772180557</v>
      </c>
      <c r="S46" s="90">
        <v>0.228406742215157</v>
      </c>
      <c r="T46" s="90">
        <v>0.225829184055328</v>
      </c>
      <c r="U46" s="90">
        <v>0.222296372056007</v>
      </c>
      <c r="V46" s="90">
        <v>0.218350604176521</v>
      </c>
      <c r="W46" s="90">
        <v>0.21577961742878</v>
      </c>
      <c r="X46" s="90">
        <v>0.213292747735977</v>
      </c>
      <c r="Y46" s="90">
        <v>0.210016116499901</v>
      </c>
      <c r="Z46" s="90">
        <v>0.205479860305786</v>
      </c>
    </row>
    <row r="47" spans="1:26" ht="13.5" customHeight="1">
      <c r="A47" s="86" t="s">
        <v>447</v>
      </c>
      <c r="B47" s="90">
        <v>10.1267280578613</v>
      </c>
      <c r="C47" s="90">
        <v>9.95785999298096</v>
      </c>
      <c r="D47" s="90">
        <v>9.24479484558105</v>
      </c>
      <c r="E47" s="90">
        <v>8.71198081970215</v>
      </c>
      <c r="F47" s="90">
        <v>8.33808708190918</v>
      </c>
      <c r="G47" s="90">
        <v>8.53397846221924</v>
      </c>
      <c r="H47" s="90">
        <v>8.63685703277588</v>
      </c>
      <c r="I47" s="90">
        <v>8.73550891876221</v>
      </c>
      <c r="J47" s="90">
        <v>8.64412784576416</v>
      </c>
      <c r="K47" s="90">
        <v>8.47383880615234</v>
      </c>
      <c r="L47" s="90">
        <v>8.38531875610352</v>
      </c>
      <c r="M47" s="90">
        <v>8.30074596405029</v>
      </c>
      <c r="N47" s="90">
        <v>8.2445068359375</v>
      </c>
      <c r="O47" s="90">
        <v>8.22740268707275</v>
      </c>
      <c r="P47" s="90">
        <v>8.23513698577881</v>
      </c>
      <c r="Q47" s="90">
        <v>8.16866493225098</v>
      </c>
      <c r="R47" s="90">
        <v>8.06538963317871</v>
      </c>
      <c r="S47" s="90">
        <v>8.03570747375488</v>
      </c>
      <c r="T47" s="90">
        <v>8.01388072967529</v>
      </c>
      <c r="U47" s="90">
        <v>8.03173637390137</v>
      </c>
      <c r="V47" s="90">
        <v>7.99576377868652</v>
      </c>
      <c r="W47" s="90">
        <v>7.9003005027771</v>
      </c>
      <c r="X47" s="90">
        <v>7.84466218948364</v>
      </c>
      <c r="Y47" s="90">
        <v>7.83987903594971</v>
      </c>
      <c r="Z47" s="90">
        <v>7.7583475112915</v>
      </c>
    </row>
    <row r="48" spans="1:26" ht="13.5" customHeight="1">
      <c r="A48" s="86" t="s">
        <v>448</v>
      </c>
      <c r="B48" s="90">
        <v>6.09844303131104</v>
      </c>
      <c r="C48" s="90">
        <v>6.27083253860474</v>
      </c>
      <c r="D48" s="90">
        <v>6.26661539077759</v>
      </c>
      <c r="E48" s="90">
        <v>6.03620386123657</v>
      </c>
      <c r="F48" s="90">
        <v>5.69134569168091</v>
      </c>
      <c r="G48" s="90">
        <v>5.95447635650635</v>
      </c>
      <c r="H48" s="90">
        <v>6.1482982635498</v>
      </c>
      <c r="I48" s="90">
        <v>6.26818943023682</v>
      </c>
      <c r="J48" s="90">
        <v>6.19764757156372</v>
      </c>
      <c r="K48" s="90">
        <v>6.13734340667725</v>
      </c>
      <c r="L48" s="90">
        <v>6.10031986236572</v>
      </c>
      <c r="M48" s="90">
        <v>6.09871625900269</v>
      </c>
      <c r="N48" s="90">
        <v>6.09089136123657</v>
      </c>
      <c r="O48" s="90">
        <v>6.06257915496826</v>
      </c>
      <c r="P48" s="90">
        <v>6.07308864593506</v>
      </c>
      <c r="Q48" s="90">
        <v>6.09876871109009</v>
      </c>
      <c r="R48" s="90">
        <v>6.14619970321655</v>
      </c>
      <c r="S48" s="90">
        <v>6.19176959991455</v>
      </c>
      <c r="T48" s="90">
        <v>6.24050951004028</v>
      </c>
      <c r="U48" s="90">
        <v>6.23283815383911</v>
      </c>
      <c r="V48" s="90">
        <v>6.22795724868774</v>
      </c>
      <c r="W48" s="90">
        <v>6.26654148101807</v>
      </c>
      <c r="X48" s="90">
        <v>6.23178386688232</v>
      </c>
      <c r="Y48" s="90">
        <v>6.09025859832764</v>
      </c>
      <c r="Z48" s="90">
        <v>6.1210789680481</v>
      </c>
    </row>
    <row r="49" spans="1:26" ht="13.5" customHeight="1">
      <c r="A49" s="86" t="s">
        <v>449</v>
      </c>
      <c r="B49" s="90">
        <v>0</v>
      </c>
      <c r="C49" s="90">
        <v>0</v>
      </c>
      <c r="D49" s="90">
        <v>0</v>
      </c>
      <c r="E49" s="90">
        <v>0</v>
      </c>
      <c r="F49" s="90">
        <v>0</v>
      </c>
      <c r="G49" s="90">
        <v>0</v>
      </c>
      <c r="H49" s="90">
        <v>0</v>
      </c>
      <c r="I49" s="90">
        <v>0</v>
      </c>
      <c r="J49" s="90">
        <v>0</v>
      </c>
      <c r="K49" s="90">
        <v>0</v>
      </c>
      <c r="L49" s="90">
        <v>0</v>
      </c>
      <c r="M49" s="90">
        <v>0</v>
      </c>
      <c r="N49" s="90">
        <v>0</v>
      </c>
      <c r="O49" s="90">
        <v>0</v>
      </c>
      <c r="P49" s="90">
        <v>0</v>
      </c>
      <c r="Q49" s="90">
        <v>0</v>
      </c>
      <c r="R49" s="90">
        <v>0</v>
      </c>
      <c r="S49" s="90">
        <v>0</v>
      </c>
      <c r="T49" s="90">
        <v>0</v>
      </c>
      <c r="U49" s="90">
        <v>0</v>
      </c>
      <c r="V49" s="90">
        <v>0</v>
      </c>
      <c r="W49" s="90">
        <v>0</v>
      </c>
      <c r="X49" s="90">
        <v>0</v>
      </c>
      <c r="Y49" s="90">
        <v>0</v>
      </c>
      <c r="Z49" s="90">
        <v>0</v>
      </c>
    </row>
    <row r="50" spans="1:26" ht="13.5" customHeight="1">
      <c r="A50" s="86" t="s">
        <v>519</v>
      </c>
      <c r="B50" s="90">
        <v>0.57795649766922</v>
      </c>
      <c r="C50" s="90">
        <v>0.546868979930878</v>
      </c>
      <c r="D50" s="90">
        <v>0.568152606487274</v>
      </c>
      <c r="E50" s="90">
        <v>0.471344888210297</v>
      </c>
      <c r="F50" s="90">
        <v>0.47205638885498</v>
      </c>
      <c r="G50" s="90">
        <v>0.474780559539795</v>
      </c>
      <c r="H50" s="90">
        <v>0.478513181209564</v>
      </c>
      <c r="I50" s="90">
        <v>0.487286061048508</v>
      </c>
      <c r="J50" s="90">
        <v>0.490501582622528</v>
      </c>
      <c r="K50" s="90">
        <v>0.484276920557022</v>
      </c>
      <c r="L50" s="90">
        <v>0.479920834302902</v>
      </c>
      <c r="M50" s="90">
        <v>0.475848346948624</v>
      </c>
      <c r="N50" s="90">
        <v>0.472037494182587</v>
      </c>
      <c r="O50" s="90">
        <v>0.464279472827911</v>
      </c>
      <c r="P50" s="90">
        <v>0.464310944080353</v>
      </c>
      <c r="Q50" s="90">
        <v>0.459179252386093</v>
      </c>
      <c r="R50" s="90">
        <v>0.454230219125748</v>
      </c>
      <c r="S50" s="90">
        <v>0.45226326584816</v>
      </c>
      <c r="T50" s="90">
        <v>0.449751019477844</v>
      </c>
      <c r="U50" s="90">
        <v>0.446297973394394</v>
      </c>
      <c r="V50" s="90">
        <v>0.437027633190155</v>
      </c>
      <c r="W50" s="90">
        <v>0.433954626321793</v>
      </c>
      <c r="X50" s="90">
        <v>0.424844056367874</v>
      </c>
      <c r="Y50" s="90">
        <v>0.414084553718567</v>
      </c>
      <c r="Z50" s="90">
        <v>0.398366659879684</v>
      </c>
    </row>
    <row r="51" spans="1:26" ht="13.5" customHeight="1">
      <c r="A51" s="86" t="s">
        <v>458</v>
      </c>
      <c r="B51" s="90">
        <v>1.15533030033112</v>
      </c>
      <c r="C51" s="90">
        <v>1.20187342166901</v>
      </c>
      <c r="D51" s="90">
        <v>1.3178083896637</v>
      </c>
      <c r="E51" s="90">
        <v>1.31485557556152</v>
      </c>
      <c r="F51" s="90">
        <v>1.27843868732452</v>
      </c>
      <c r="G51" s="90">
        <v>1.26156425476074</v>
      </c>
      <c r="H51" s="90">
        <v>1.24325251579285</v>
      </c>
      <c r="I51" s="90">
        <v>1.22808420658112</v>
      </c>
      <c r="J51" s="90">
        <v>1.21028399467468</v>
      </c>
      <c r="K51" s="90">
        <v>1.19714713096619</v>
      </c>
      <c r="L51" s="90">
        <v>1.19546329975128</v>
      </c>
      <c r="M51" s="90">
        <v>1.19862139225006</v>
      </c>
      <c r="N51" s="90">
        <v>1.20881640911102</v>
      </c>
      <c r="O51" s="90">
        <v>1.21826303005219</v>
      </c>
      <c r="P51" s="90">
        <v>1.22823190689087</v>
      </c>
      <c r="Q51" s="90">
        <v>1.23901259899139</v>
      </c>
      <c r="R51" s="90">
        <v>1.28429126739502</v>
      </c>
      <c r="S51" s="90">
        <v>1.34064567089081</v>
      </c>
      <c r="T51" s="90">
        <v>1.36294388771057</v>
      </c>
      <c r="U51" s="90">
        <v>1.38837778568268</v>
      </c>
      <c r="V51" s="90">
        <v>1.4023779630661</v>
      </c>
      <c r="W51" s="90">
        <v>1.41692233085632</v>
      </c>
      <c r="X51" s="90">
        <v>1.42002022266388</v>
      </c>
      <c r="Y51" s="90">
        <v>1.42295956611633</v>
      </c>
      <c r="Z51" s="90">
        <v>1.43716740608215</v>
      </c>
    </row>
    <row r="52" spans="1:26" ht="13.5" customHeight="1">
      <c r="A52" s="86" t="s">
        <v>450</v>
      </c>
      <c r="B52" s="90">
        <v>7.83172988891602</v>
      </c>
      <c r="C52" s="90">
        <v>8.01957511901855</v>
      </c>
      <c r="D52" s="90">
        <v>8.1525764465332</v>
      </c>
      <c r="E52" s="90">
        <v>7.82240438461304</v>
      </c>
      <c r="F52" s="90">
        <v>7.44184064865112</v>
      </c>
      <c r="G52" s="90">
        <v>7.69082117080688</v>
      </c>
      <c r="H52" s="90">
        <v>7.87006425857544</v>
      </c>
      <c r="I52" s="90">
        <v>7.98355960845947</v>
      </c>
      <c r="J52" s="90">
        <v>7.89843273162842</v>
      </c>
      <c r="K52" s="90">
        <v>7.81876754760742</v>
      </c>
      <c r="L52" s="90">
        <v>7.77570390701294</v>
      </c>
      <c r="M52" s="90">
        <v>7.77318572998047</v>
      </c>
      <c r="N52" s="90">
        <v>7.77174520492554</v>
      </c>
      <c r="O52" s="90">
        <v>7.74512195587158</v>
      </c>
      <c r="P52" s="90">
        <v>7.76563167572021</v>
      </c>
      <c r="Q52" s="90">
        <v>7.79696083068848</v>
      </c>
      <c r="R52" s="90">
        <v>7.88472127914429</v>
      </c>
      <c r="S52" s="90">
        <v>7.98467874526978</v>
      </c>
      <c r="T52" s="90">
        <v>8.05320453643799</v>
      </c>
      <c r="U52" s="90">
        <v>8.06751346588135</v>
      </c>
      <c r="V52" s="90">
        <v>8.06736278533936</v>
      </c>
      <c r="W52" s="90">
        <v>8.11741828918457</v>
      </c>
      <c r="X52" s="90">
        <v>8.07664775848389</v>
      </c>
      <c r="Y52" s="90">
        <v>7.92730236053467</v>
      </c>
      <c r="Z52" s="90">
        <v>7.95661306381226</v>
      </c>
    </row>
    <row r="53" spans="1:26" ht="13.5" customHeight="1">
      <c r="A53" s="86" t="s">
        <v>459</v>
      </c>
      <c r="B53" s="90">
        <v>0.663899958133698</v>
      </c>
      <c r="C53" s="90">
        <v>0.623300015926361</v>
      </c>
      <c r="D53" s="90">
        <v>0.644596457481384</v>
      </c>
      <c r="E53" s="90">
        <v>0.455232381820679</v>
      </c>
      <c r="F53" s="90">
        <v>0.523761212825775</v>
      </c>
      <c r="G53" s="90">
        <v>0.535246908664703</v>
      </c>
      <c r="H53" s="90">
        <v>0.550214827060699</v>
      </c>
      <c r="I53" s="90">
        <v>0.557061433792114</v>
      </c>
      <c r="J53" s="90">
        <v>0.547709226608276</v>
      </c>
      <c r="K53" s="90">
        <v>0.530738890171051</v>
      </c>
      <c r="L53" s="90">
        <v>0.521191954612732</v>
      </c>
      <c r="M53" s="90">
        <v>0.518137097358704</v>
      </c>
      <c r="N53" s="90">
        <v>0.514872133731842</v>
      </c>
      <c r="O53" s="90">
        <v>0.508423328399658</v>
      </c>
      <c r="P53" s="90">
        <v>0.503451883792877</v>
      </c>
      <c r="Q53" s="90">
        <v>0.49623167514801</v>
      </c>
      <c r="R53" s="90">
        <v>0.486388385295868</v>
      </c>
      <c r="S53" s="90">
        <v>0.480713307857513</v>
      </c>
      <c r="T53" s="90">
        <v>0.475493788719177</v>
      </c>
      <c r="U53" s="90">
        <v>0.465293258428574</v>
      </c>
      <c r="V53" s="90">
        <v>0.450196802616119</v>
      </c>
      <c r="W53" s="90">
        <v>0.433622807264328</v>
      </c>
      <c r="X53" s="90">
        <v>0.416281938552856</v>
      </c>
      <c r="Y53" s="90">
        <v>0.400144129991531</v>
      </c>
      <c r="Z53" s="90">
        <v>0.385093718767166</v>
      </c>
    </row>
    <row r="54" spans="1:26" ht="13.5" customHeight="1">
      <c r="A54" s="86" t="s">
        <v>451</v>
      </c>
      <c r="B54" s="90">
        <v>1.25476014614105</v>
      </c>
      <c r="C54" s="90">
        <v>1.2096186876297</v>
      </c>
      <c r="D54" s="90">
        <v>1.19359743595123</v>
      </c>
      <c r="E54" s="90">
        <v>0.997889399528503</v>
      </c>
      <c r="F54" s="90">
        <v>1.00065743923187</v>
      </c>
      <c r="G54" s="90">
        <v>1.03042769432068</v>
      </c>
      <c r="H54" s="90">
        <v>1.0620676279068</v>
      </c>
      <c r="I54" s="90">
        <v>1.08718848228455</v>
      </c>
      <c r="J54" s="90">
        <v>1.10255634784698</v>
      </c>
      <c r="K54" s="90">
        <v>1.0987948179245</v>
      </c>
      <c r="L54" s="90">
        <v>1.09802067279816</v>
      </c>
      <c r="M54" s="90">
        <v>1.0998123884201</v>
      </c>
      <c r="N54" s="90">
        <v>1.10166394710541</v>
      </c>
      <c r="O54" s="90">
        <v>1.10246586799622</v>
      </c>
      <c r="P54" s="90">
        <v>1.10439300537109</v>
      </c>
      <c r="Q54" s="90">
        <v>1.10357654094696</v>
      </c>
      <c r="R54" s="90">
        <v>1.10365462303162</v>
      </c>
      <c r="S54" s="90">
        <v>1.10589444637299</v>
      </c>
      <c r="T54" s="90">
        <v>1.10735809803009</v>
      </c>
      <c r="U54" s="90">
        <v>1.10828745365143</v>
      </c>
      <c r="V54" s="90">
        <v>1.10699868202209</v>
      </c>
      <c r="W54" s="90">
        <v>1.10447204113007</v>
      </c>
      <c r="X54" s="90">
        <v>1.10087013244629</v>
      </c>
      <c r="Y54" s="90">
        <v>1.09650373458862</v>
      </c>
      <c r="Z54" s="90">
        <v>1.09241008758545</v>
      </c>
    </row>
    <row r="55" spans="1:26" ht="13.5" customHeight="1">
      <c r="A55" s="86" t="s">
        <v>452</v>
      </c>
      <c r="B55" s="90">
        <v>0.000757000059820712</v>
      </c>
      <c r="C55" s="90">
        <v>0.000868000031914562</v>
      </c>
      <c r="D55" s="90">
        <v>0.000757000059820712</v>
      </c>
      <c r="E55" s="90">
        <v>0.000757000059820712</v>
      </c>
      <c r="F55" s="90">
        <v>0</v>
      </c>
      <c r="G55" s="90">
        <v>0.00464583979919553</v>
      </c>
      <c r="H55" s="90">
        <v>0.0239566769450903</v>
      </c>
      <c r="I55" s="90">
        <v>0.0617026314139366</v>
      </c>
      <c r="J55" s="90">
        <v>0.155140250921249</v>
      </c>
      <c r="K55" s="90">
        <v>0.168258309364319</v>
      </c>
      <c r="L55" s="90">
        <v>0.182226166129112</v>
      </c>
      <c r="M55" s="90">
        <v>0.197055071592331</v>
      </c>
      <c r="N55" s="90">
        <v>0.212749287486076</v>
      </c>
      <c r="O55" s="90">
        <v>0.229304581880569</v>
      </c>
      <c r="P55" s="90">
        <v>0.24670746922493</v>
      </c>
      <c r="Q55" s="90">
        <v>0.264934629201889</v>
      </c>
      <c r="R55" s="90">
        <v>0.283952206373215</v>
      </c>
      <c r="S55" s="90">
        <v>0.303715199232101</v>
      </c>
      <c r="T55" s="90">
        <v>0.324167847633362</v>
      </c>
      <c r="U55" s="90">
        <v>0.345243334770203</v>
      </c>
      <c r="V55" s="90">
        <v>0.366864949464798</v>
      </c>
      <c r="W55" s="90">
        <v>0.388946145772934</v>
      </c>
      <c r="X55" s="90">
        <v>0.411392480134964</v>
      </c>
      <c r="Y55" s="90">
        <v>0.434102535247803</v>
      </c>
      <c r="Z55" s="90">
        <v>0.456970125436783</v>
      </c>
    </row>
    <row r="56" spans="1:26" ht="13.5" customHeight="1">
      <c r="A56" s="86" t="s">
        <v>453</v>
      </c>
      <c r="B56" s="90">
        <v>1.91941714286804</v>
      </c>
      <c r="C56" s="90">
        <v>1.83378660678864</v>
      </c>
      <c r="D56" s="90">
        <v>1.83895087242126</v>
      </c>
      <c r="E56" s="90">
        <v>1.45387876033783</v>
      </c>
      <c r="F56" s="90">
        <v>1.524418592453</v>
      </c>
      <c r="G56" s="90">
        <v>1.57032036781311</v>
      </c>
      <c r="H56" s="90">
        <v>1.63623917102814</v>
      </c>
      <c r="I56" s="90">
        <v>1.70595252513885</v>
      </c>
      <c r="J56" s="90">
        <v>1.80540585517883</v>
      </c>
      <c r="K56" s="90">
        <v>1.79779207706451</v>
      </c>
      <c r="L56" s="90">
        <v>1.8014388084411599</v>
      </c>
      <c r="M56" s="90">
        <v>1.81500458717346</v>
      </c>
      <c r="N56" s="90">
        <v>1.82928538322449</v>
      </c>
      <c r="O56" s="90">
        <v>1.84019374847412</v>
      </c>
      <c r="P56" s="90">
        <v>1.85455226898193</v>
      </c>
      <c r="Q56" s="90">
        <v>1.86474287509918</v>
      </c>
      <c r="R56" s="90">
        <v>1.87399530410767</v>
      </c>
      <c r="S56" s="90">
        <v>1.89032292366028</v>
      </c>
      <c r="T56" s="90">
        <v>1.90701973438263</v>
      </c>
      <c r="U56" s="90">
        <v>1.91882407665253</v>
      </c>
      <c r="V56" s="90">
        <v>1.92406034469604</v>
      </c>
      <c r="W56" s="90">
        <v>1.92704105377197</v>
      </c>
      <c r="X56" s="90">
        <v>1.92854452133179</v>
      </c>
      <c r="Y56" s="90">
        <v>1.93075037002563</v>
      </c>
      <c r="Z56" s="90">
        <v>1.93447387218475</v>
      </c>
    </row>
    <row r="57" spans="1:26" ht="13.5" customHeight="1">
      <c r="A57" s="86" t="s">
        <v>454</v>
      </c>
      <c r="B57" s="90">
        <v>0.301425248384476</v>
      </c>
      <c r="C57" s="90">
        <v>0.401797413825989</v>
      </c>
      <c r="D57" s="90">
        <v>0.872740626335144</v>
      </c>
      <c r="E57" s="90">
        <v>0.655328035354614</v>
      </c>
      <c r="F57" s="90">
        <v>0.759322464466095</v>
      </c>
      <c r="G57" s="90">
        <v>0.852034509181976</v>
      </c>
      <c r="H57" s="90">
        <v>0.840497314929962</v>
      </c>
      <c r="I57" s="90">
        <v>0.842752516269684</v>
      </c>
      <c r="J57" s="90">
        <v>0.836346328258514</v>
      </c>
      <c r="K57" s="90">
        <v>0.854244291782379</v>
      </c>
      <c r="L57" s="90">
        <v>0.894901752471924</v>
      </c>
      <c r="M57" s="90">
        <v>0.927104830741882</v>
      </c>
      <c r="N57" s="90">
        <v>0.991284608840942</v>
      </c>
      <c r="O57" s="90">
        <v>1.0660947561264</v>
      </c>
      <c r="P57" s="90">
        <v>1.22613346576691</v>
      </c>
      <c r="Q57" s="90">
        <v>1.37141728401184</v>
      </c>
      <c r="R57" s="90">
        <v>1.56382763385773</v>
      </c>
      <c r="S57" s="90">
        <v>1.63595962524414</v>
      </c>
      <c r="T57" s="90">
        <v>1.61427712440491</v>
      </c>
      <c r="U57" s="90">
        <v>1.62888360023499</v>
      </c>
      <c r="V57" s="90">
        <v>1.65590023994446</v>
      </c>
      <c r="W57" s="90">
        <v>1.75286507606506</v>
      </c>
      <c r="X57" s="90">
        <v>1.79167580604553</v>
      </c>
      <c r="Y57" s="90">
        <v>1.89420580863953</v>
      </c>
      <c r="Z57" s="90">
        <v>1.93839585781097</v>
      </c>
    </row>
    <row r="58" spans="1:26" ht="13.5" customHeight="1">
      <c r="A58" s="86" t="s">
        <v>460</v>
      </c>
      <c r="B58" s="90">
        <v>1.69593393802643</v>
      </c>
      <c r="C58" s="90">
        <v>1.64231646060944</v>
      </c>
      <c r="D58" s="90">
        <v>1.66471648216248</v>
      </c>
      <c r="E58" s="90">
        <v>1.56412851810455</v>
      </c>
      <c r="F58" s="90">
        <v>1.56624186038971</v>
      </c>
      <c r="G58" s="90">
        <v>1.5684654712677</v>
      </c>
      <c r="H58" s="90">
        <v>1.56788110733032</v>
      </c>
      <c r="I58" s="90">
        <v>1.56673681735992</v>
      </c>
      <c r="J58" s="90">
        <v>1.55031263828278</v>
      </c>
      <c r="K58" s="90">
        <v>1.56487357616425</v>
      </c>
      <c r="L58" s="90">
        <v>1.58731698989868</v>
      </c>
      <c r="M58" s="90">
        <v>1.61154329776764</v>
      </c>
      <c r="N58" s="90">
        <v>1.63397753238678</v>
      </c>
      <c r="O58" s="90">
        <v>1.65273225307465</v>
      </c>
      <c r="P58" s="90">
        <v>1.67549896240234</v>
      </c>
      <c r="Q58" s="90">
        <v>1.70067846775055</v>
      </c>
      <c r="R58" s="90">
        <v>1.72648859024048</v>
      </c>
      <c r="S58" s="90">
        <v>1.75753593444824</v>
      </c>
      <c r="T58" s="90">
        <v>1.79064249992371</v>
      </c>
      <c r="U58" s="90">
        <v>1.82465243339539</v>
      </c>
      <c r="V58" s="90">
        <v>1.85401582717896</v>
      </c>
      <c r="W58" s="90">
        <v>1.87910866737366</v>
      </c>
      <c r="X58" s="90">
        <v>1.90066421031952</v>
      </c>
      <c r="Y58" s="90">
        <v>1.91943550109863</v>
      </c>
      <c r="Z58" s="90">
        <v>1.94037222862244</v>
      </c>
    </row>
    <row r="59" spans="1:26" ht="13.5" customHeight="1">
      <c r="A59" s="86" t="s">
        <v>509</v>
      </c>
      <c r="B59" s="90">
        <v>3.45050072669983</v>
      </c>
      <c r="C59" s="90">
        <v>3.43189978599548</v>
      </c>
      <c r="D59" s="90">
        <v>3.31842970848083</v>
      </c>
      <c r="E59" s="90">
        <v>3.12349486351013</v>
      </c>
      <c r="F59" s="90">
        <v>3.15884780883789</v>
      </c>
      <c r="G59" s="90">
        <v>3.25145125389099</v>
      </c>
      <c r="H59" s="90">
        <v>3.3495454788208</v>
      </c>
      <c r="I59" s="90">
        <v>3.42231392860413</v>
      </c>
      <c r="J59" s="90">
        <v>3.42111253738403</v>
      </c>
      <c r="K59" s="90">
        <v>3.40859580039978</v>
      </c>
      <c r="L59" s="90">
        <v>3.41181993484497</v>
      </c>
      <c r="M59" s="90">
        <v>3.43473672866821</v>
      </c>
      <c r="N59" s="90">
        <v>3.45962429046631</v>
      </c>
      <c r="O59" s="90">
        <v>3.46656274795532</v>
      </c>
      <c r="P59" s="90">
        <v>3.4818639755249</v>
      </c>
      <c r="Q59" s="90">
        <v>3.48347067832947</v>
      </c>
      <c r="R59" s="90">
        <v>3.47405695915222</v>
      </c>
      <c r="S59" s="90">
        <v>3.4856233596801802</v>
      </c>
      <c r="T59" s="90">
        <v>3.49714684486389</v>
      </c>
      <c r="U59" s="90">
        <v>3.49846720695496</v>
      </c>
      <c r="V59" s="90">
        <v>3.48175406455994</v>
      </c>
      <c r="W59" s="90">
        <v>3.45796895027161</v>
      </c>
      <c r="X59" s="90">
        <v>3.42698860168457</v>
      </c>
      <c r="Y59" s="90">
        <v>3.39557194709778</v>
      </c>
      <c r="Z59" s="90">
        <v>3.36502528190613</v>
      </c>
    </row>
    <row r="60" spans="1:26" ht="13.5" customHeight="1">
      <c r="A60" s="86" t="s">
        <v>510</v>
      </c>
      <c r="B60" s="90">
        <v>25.3257350921631</v>
      </c>
      <c r="C60" s="90">
        <v>25.2872352600098</v>
      </c>
      <c r="D60" s="90">
        <v>25.0922088623047</v>
      </c>
      <c r="E60" s="90">
        <v>23.3312149047852</v>
      </c>
      <c r="F60" s="90">
        <v>22.7887592315674</v>
      </c>
      <c r="G60" s="90">
        <v>23.4670715332031</v>
      </c>
      <c r="H60" s="90">
        <v>23.9010848999023</v>
      </c>
      <c r="I60" s="90">
        <v>24.2568244934082</v>
      </c>
      <c r="J60" s="90">
        <v>24.1557388305664</v>
      </c>
      <c r="K60" s="90">
        <v>23.9181118011475</v>
      </c>
      <c r="L60" s="90">
        <v>23.8565006256104</v>
      </c>
      <c r="M60" s="90">
        <v>23.8623199462891</v>
      </c>
      <c r="N60" s="90">
        <v>23.9304237365723</v>
      </c>
      <c r="O60" s="90">
        <v>23.9981079101563</v>
      </c>
      <c r="P60" s="90">
        <v>24.2388172149658</v>
      </c>
      <c r="Q60" s="90">
        <v>24.3859348297119</v>
      </c>
      <c r="R60" s="90">
        <v>24.5884780883789</v>
      </c>
      <c r="S60" s="90">
        <v>24.7898292541504</v>
      </c>
      <c r="T60" s="90">
        <v>24.8761711120605</v>
      </c>
      <c r="U60" s="90">
        <v>24.9700775146484</v>
      </c>
      <c r="V60" s="90">
        <v>24.9788570404053</v>
      </c>
      <c r="W60" s="90">
        <v>25.0347023010254</v>
      </c>
      <c r="X60" s="90">
        <v>24.9691829681396</v>
      </c>
      <c r="Y60" s="90">
        <v>24.9071445465088</v>
      </c>
      <c r="Z60" s="90">
        <v>24.8932285308838</v>
      </c>
    </row>
    <row r="61" spans="1:26" ht="13.5" customHeight="1">
      <c r="A61" s="86" t="s">
        <v>511</v>
      </c>
      <c r="B61" s="90">
        <v>7.48271751403809</v>
      </c>
      <c r="C61" s="90">
        <v>7.48395824432373</v>
      </c>
      <c r="D61" s="90">
        <v>7.10834884643555</v>
      </c>
      <c r="E61" s="90">
        <v>6.77022933959961</v>
      </c>
      <c r="F61" s="90">
        <v>6.88654565811157</v>
      </c>
      <c r="G61" s="90">
        <v>7.101487159729</v>
      </c>
      <c r="H61" s="90">
        <v>7.3215856552124</v>
      </c>
      <c r="I61" s="90">
        <v>7.46168279647827</v>
      </c>
      <c r="J61" s="90">
        <v>7.42906522750854</v>
      </c>
      <c r="K61" s="90">
        <v>7.37480926513672</v>
      </c>
      <c r="L61" s="90">
        <v>7.37409591674805</v>
      </c>
      <c r="M61" s="90">
        <v>7.41924095153809</v>
      </c>
      <c r="N61" s="90">
        <v>7.45926332473755</v>
      </c>
      <c r="O61" s="90">
        <v>7.45716381072998</v>
      </c>
      <c r="P61" s="90">
        <v>7.47794532775879</v>
      </c>
      <c r="Q61" s="90">
        <v>7.45402574539185</v>
      </c>
      <c r="R61" s="90">
        <v>7.3958592414856</v>
      </c>
      <c r="S61" s="90">
        <v>7.38030910491943</v>
      </c>
      <c r="T61" s="90">
        <v>7.36600017547607</v>
      </c>
      <c r="U61" s="90">
        <v>7.32821178436279</v>
      </c>
      <c r="V61" s="90">
        <v>7.25895261764526</v>
      </c>
      <c r="W61" s="90">
        <v>7.19817590713501</v>
      </c>
      <c r="X61" s="90">
        <v>7.12058401107788</v>
      </c>
      <c r="Y61" s="90">
        <v>7.05431175231934</v>
      </c>
      <c r="Z61" s="90">
        <v>6.96239328384399</v>
      </c>
    </row>
    <row r="62" spans="1:26" ht="13.5" customHeight="1">
      <c r="A62" s="86" t="s">
        <v>512</v>
      </c>
      <c r="B62" s="90">
        <v>32.8084526062012</v>
      </c>
      <c r="C62" s="90">
        <v>32.7711944580078</v>
      </c>
      <c r="D62" s="90">
        <v>32.2005577087402</v>
      </c>
      <c r="E62" s="90">
        <v>30.1014442443848</v>
      </c>
      <c r="F62" s="90">
        <v>29.6753044128418</v>
      </c>
      <c r="G62" s="90">
        <v>30.5685577392578</v>
      </c>
      <c r="H62" s="90">
        <v>31.2226715087891</v>
      </c>
      <c r="I62" s="90">
        <v>31.7185077667236</v>
      </c>
      <c r="J62" s="90">
        <v>31.5848045349121</v>
      </c>
      <c r="K62" s="90">
        <v>31.2929210662842</v>
      </c>
      <c r="L62" s="90">
        <v>31.2305965423584</v>
      </c>
      <c r="M62" s="90">
        <v>31.2815608978271</v>
      </c>
      <c r="N62" s="90">
        <v>31.3896865844727</v>
      </c>
      <c r="O62" s="90">
        <v>31.4552726745605</v>
      </c>
      <c r="P62" s="90">
        <v>31.7167625427246</v>
      </c>
      <c r="Q62" s="90">
        <v>31.8399600982666</v>
      </c>
      <c r="R62" s="90">
        <v>31.9843368530273</v>
      </c>
      <c r="S62" s="90">
        <v>32.1701393127441</v>
      </c>
      <c r="T62" s="90">
        <v>32.2421722412109</v>
      </c>
      <c r="U62" s="90">
        <v>32.2982902526855</v>
      </c>
      <c r="V62" s="90">
        <v>32.2378082275391</v>
      </c>
      <c r="W62" s="90">
        <v>32.2328796386719</v>
      </c>
      <c r="X62" s="90">
        <v>32.0897674560547</v>
      </c>
      <c r="Y62" s="90">
        <v>31.9614562988281</v>
      </c>
      <c r="Z62" s="90">
        <v>31.8556213378906</v>
      </c>
    </row>
    <row r="64" ht="13.5" customHeight="1">
      <c r="A64" s="86" t="s">
        <v>461</v>
      </c>
    </row>
    <row r="65" ht="13.5" customHeight="1">
      <c r="A65" s="86" t="s">
        <v>462</v>
      </c>
    </row>
    <row r="66" ht="13.5" customHeight="1">
      <c r="A66" s="86" t="s">
        <v>463</v>
      </c>
    </row>
    <row r="67" ht="13.5" customHeight="1">
      <c r="A67" s="86" t="s">
        <v>470</v>
      </c>
    </row>
    <row r="68" ht="13.5" customHeight="1">
      <c r="A68" s="86" t="s">
        <v>492</v>
      </c>
    </row>
    <row r="69" ht="13.5" customHeight="1">
      <c r="A69" s="86" t="s">
        <v>493</v>
      </c>
    </row>
    <row r="70" ht="13.5" customHeight="1">
      <c r="A70" s="86" t="s">
        <v>494</v>
      </c>
    </row>
    <row r="71" ht="13.5" customHeight="1">
      <c r="A71" s="86" t="s">
        <v>495</v>
      </c>
    </row>
    <row r="72" ht="13.5" customHeight="1">
      <c r="A72" s="86" t="s">
        <v>496</v>
      </c>
    </row>
    <row r="73" ht="13.5" customHeight="1">
      <c r="A73" s="86" t="s">
        <v>479</v>
      </c>
    </row>
    <row r="74" ht="13.5" customHeight="1">
      <c r="A74" s="86" t="s">
        <v>480</v>
      </c>
    </row>
    <row r="75" ht="13.5" customHeight="1">
      <c r="A75" s="86" t="s">
        <v>507</v>
      </c>
    </row>
    <row r="76" ht="13.5" customHeight="1">
      <c r="A76" s="86" t="s">
        <v>508</v>
      </c>
    </row>
    <row r="77" ht="13.5" customHeight="1">
      <c r="A77" s="86" t="s">
        <v>488</v>
      </c>
    </row>
    <row r="78" ht="13.5" customHeight="1">
      <c r="A78" s="86" t="s">
        <v>489</v>
      </c>
    </row>
    <row r="79" ht="13.5" customHeight="1">
      <c r="A79" s="86" t="s">
        <v>490</v>
      </c>
    </row>
    <row r="80" ht="13.5" customHeight="1">
      <c r="A80" s="86" t="s">
        <v>491</v>
      </c>
    </row>
    <row r="81" ht="13.5" customHeight="1">
      <c r="A81" s="86" t="s">
        <v>420</v>
      </c>
    </row>
    <row r="82" ht="13.5" customHeight="1">
      <c r="A82" s="86" t="s">
        <v>520</v>
      </c>
    </row>
    <row r="83" ht="13.5" customHeight="1">
      <c r="A83" s="86" t="s">
        <v>521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68"/>
  <sheetViews>
    <sheetView zoomScale="150" zoomScaleNormal="150" workbookViewId="0" topLeftCell="A1">
      <selection activeCell="C68" sqref="C68"/>
    </sheetView>
  </sheetViews>
  <sheetFormatPr defaultColWidth="11.421875" defaultRowHeight="12.75"/>
  <cols>
    <col min="1" max="1" width="31.421875" style="0" customWidth="1"/>
    <col min="2" max="2" width="9.421875" style="0" bestFit="1" customWidth="1"/>
    <col min="3" max="3" width="9.28125" style="0" bestFit="1" customWidth="1"/>
    <col min="4" max="6" width="9.421875" style="0" bestFit="1" customWidth="1"/>
    <col min="7" max="8" width="9.28125" style="0" bestFit="1" customWidth="1"/>
    <col min="9" max="16384" width="8.8515625" style="0" customWidth="1"/>
  </cols>
  <sheetData>
    <row r="1" ht="12">
      <c r="A1" t="s">
        <v>422</v>
      </c>
    </row>
    <row r="2" ht="12">
      <c r="A2" t="s">
        <v>423</v>
      </c>
    </row>
    <row r="3" ht="12">
      <c r="A3" t="s">
        <v>424</v>
      </c>
    </row>
    <row r="4" ht="12">
      <c r="A4" t="s">
        <v>425</v>
      </c>
    </row>
    <row r="5" ht="12">
      <c r="A5" t="s">
        <v>426</v>
      </c>
    </row>
    <row r="7" spans="1:11" s="1" customFormat="1" ht="12">
      <c r="A7" s="1" t="s">
        <v>464</v>
      </c>
      <c r="G7"/>
      <c r="H7"/>
      <c r="I7"/>
      <c r="J7"/>
      <c r="K7"/>
    </row>
    <row r="8" s="1" customFormat="1" ht="12">
      <c r="A8" s="1" t="s">
        <v>436</v>
      </c>
    </row>
    <row r="9" s="1" customFormat="1" ht="12"/>
    <row r="10" spans="1:10" s="1" customFormat="1" ht="12.75" customHeight="1">
      <c r="A10" s="1" t="s">
        <v>439</v>
      </c>
      <c r="C10" s="1" t="s">
        <v>437</v>
      </c>
      <c r="H10" s="173" t="s">
        <v>465</v>
      </c>
      <c r="I10" s="173"/>
      <c r="J10" s="174"/>
    </row>
    <row r="11" spans="2:10" s="1" customFormat="1" ht="12">
      <c r="B11" s="1">
        <v>2005</v>
      </c>
      <c r="C11" s="1">
        <v>2010</v>
      </c>
      <c r="D11" s="1">
        <v>2015</v>
      </c>
      <c r="E11" s="1">
        <v>2020</v>
      </c>
      <c r="F11" s="1">
        <v>2025</v>
      </c>
      <c r="G11" s="1">
        <v>2030</v>
      </c>
      <c r="H11" s="173"/>
      <c r="I11" s="173"/>
      <c r="J11" s="174"/>
    </row>
    <row r="12" spans="8:10" s="1" customFormat="1" ht="12">
      <c r="H12" s="10"/>
      <c r="I12" s="10"/>
      <c r="J12" s="11"/>
    </row>
    <row r="13" spans="1:8" s="1" customFormat="1" ht="12">
      <c r="A13" s="1" t="s">
        <v>440</v>
      </c>
      <c r="B13" s="2"/>
      <c r="C13" s="2"/>
      <c r="D13" s="2"/>
      <c r="E13" s="2"/>
      <c r="F13" s="2"/>
      <c r="G13" s="2"/>
      <c r="H13" s="2"/>
    </row>
    <row r="14" spans="1:8" ht="12">
      <c r="A14" t="s">
        <v>342</v>
      </c>
      <c r="B14" s="3">
        <v>10.4</v>
      </c>
      <c r="C14" s="3">
        <v>10.3</v>
      </c>
      <c r="D14" s="3">
        <v>10.5</v>
      </c>
      <c r="E14" s="3">
        <v>10.8</v>
      </c>
      <c r="F14" s="3">
        <v>11</v>
      </c>
      <c r="G14" s="3">
        <v>11.1</v>
      </c>
      <c r="H14" s="3">
        <v>0.3</v>
      </c>
    </row>
    <row r="15" spans="1:8" ht="12">
      <c r="A15" t="s">
        <v>441</v>
      </c>
      <c r="B15" s="3">
        <v>19.1</v>
      </c>
      <c r="C15" s="3">
        <v>20.5</v>
      </c>
      <c r="D15" s="3">
        <v>22.1</v>
      </c>
      <c r="E15" s="3">
        <v>23.2</v>
      </c>
      <c r="F15" s="3">
        <v>24.1</v>
      </c>
      <c r="G15" s="3">
        <v>25.2</v>
      </c>
      <c r="H15" s="3">
        <v>1.1</v>
      </c>
    </row>
    <row r="16" spans="1:8" ht="12">
      <c r="A16" t="s">
        <v>442</v>
      </c>
      <c r="B16" s="3">
        <v>3.2</v>
      </c>
      <c r="C16" s="3">
        <v>3.3</v>
      </c>
      <c r="D16" s="3">
        <v>3.5</v>
      </c>
      <c r="E16" s="3">
        <v>3.6</v>
      </c>
      <c r="F16" s="3">
        <v>3.5</v>
      </c>
      <c r="G16" s="3">
        <v>3.3</v>
      </c>
      <c r="H16" s="3">
        <v>0.2</v>
      </c>
    </row>
    <row r="17" spans="1:8" s="4" customFormat="1" ht="12">
      <c r="A17" s="4" t="s">
        <v>320</v>
      </c>
      <c r="B17" s="5">
        <v>15.1</v>
      </c>
      <c r="C17" s="5">
        <v>18.1</v>
      </c>
      <c r="D17" s="5">
        <v>20.7</v>
      </c>
      <c r="E17" s="5">
        <v>23.1</v>
      </c>
      <c r="F17" s="5">
        <v>25.2</v>
      </c>
      <c r="G17" s="5">
        <v>27.4</v>
      </c>
      <c r="H17" s="5">
        <v>2.4</v>
      </c>
    </row>
    <row r="18" spans="1:8" ht="12">
      <c r="A18" t="s">
        <v>333</v>
      </c>
      <c r="B18" s="3">
        <v>0.7</v>
      </c>
      <c r="C18" s="3">
        <v>0.7</v>
      </c>
      <c r="D18" s="3">
        <v>0.6</v>
      </c>
      <c r="E18" s="3">
        <v>0.6</v>
      </c>
      <c r="F18" s="3">
        <v>0.6</v>
      </c>
      <c r="G18" s="3">
        <v>0.6</v>
      </c>
      <c r="H18" s="3">
        <v>-0.4</v>
      </c>
    </row>
    <row r="19" spans="1:8" s="1" customFormat="1" ht="12">
      <c r="A19" s="1" t="s">
        <v>334</v>
      </c>
      <c r="B19" s="2">
        <v>48.5</v>
      </c>
      <c r="C19" s="2">
        <v>52.8</v>
      </c>
      <c r="D19" s="2">
        <v>57.5</v>
      </c>
      <c r="E19" s="2">
        <v>61.3</v>
      </c>
      <c r="F19" s="2">
        <v>64.4</v>
      </c>
      <c r="G19" s="2">
        <v>67.6</v>
      </c>
      <c r="H19" s="2">
        <v>1.3</v>
      </c>
    </row>
    <row r="20" spans="1:8" s="1" customFormat="1" ht="12">
      <c r="A20" s="1" t="s">
        <v>335</v>
      </c>
      <c r="B20" s="2"/>
      <c r="C20" s="2"/>
      <c r="D20" s="2"/>
      <c r="E20" s="2"/>
      <c r="F20" s="2"/>
      <c r="G20" s="2"/>
      <c r="H20" s="2"/>
    </row>
    <row r="21" spans="1:8" s="4" customFormat="1" ht="12">
      <c r="A21" s="4" t="s">
        <v>342</v>
      </c>
      <c r="B21" s="5">
        <v>5.1</v>
      </c>
      <c r="C21" s="5">
        <v>4.9</v>
      </c>
      <c r="D21" s="5">
        <v>5.1</v>
      </c>
      <c r="E21" s="5">
        <v>5.1</v>
      </c>
      <c r="F21" s="5">
        <v>5.2</v>
      </c>
      <c r="G21" s="5">
        <v>5.3</v>
      </c>
      <c r="H21" s="5">
        <v>0.2</v>
      </c>
    </row>
    <row r="22" spans="1:8" s="4" customFormat="1" ht="12">
      <c r="A22" s="4" t="s">
        <v>441</v>
      </c>
      <c r="B22" s="5">
        <v>7.3</v>
      </c>
      <c r="C22" s="5">
        <v>7.6</v>
      </c>
      <c r="D22" s="5">
        <v>8.2</v>
      </c>
      <c r="E22" s="5">
        <v>8.7</v>
      </c>
      <c r="F22" s="5">
        <v>9.2</v>
      </c>
      <c r="G22" s="5">
        <v>9.6</v>
      </c>
      <c r="H22" s="5">
        <v>1.1</v>
      </c>
    </row>
    <row r="23" spans="1:8" s="4" customFormat="1" ht="12">
      <c r="A23" s="4" t="s">
        <v>442</v>
      </c>
      <c r="B23" s="5">
        <v>0.8</v>
      </c>
      <c r="C23" s="5">
        <v>0.8</v>
      </c>
      <c r="D23" s="5">
        <v>1</v>
      </c>
      <c r="E23" s="5">
        <v>1</v>
      </c>
      <c r="F23" s="5">
        <v>1</v>
      </c>
      <c r="G23" s="5">
        <v>1</v>
      </c>
      <c r="H23" s="5">
        <v>0.9</v>
      </c>
    </row>
    <row r="24" spans="1:8" s="4" customFormat="1" ht="12">
      <c r="A24" s="4" t="s">
        <v>320</v>
      </c>
      <c r="B24" s="5">
        <v>12.3</v>
      </c>
      <c r="C24" s="5">
        <v>14.6</v>
      </c>
      <c r="D24" s="5">
        <v>17.1</v>
      </c>
      <c r="E24" s="5">
        <v>19.2</v>
      </c>
      <c r="F24" s="5">
        <v>21.3</v>
      </c>
      <c r="G24" s="5">
        <v>23.4</v>
      </c>
      <c r="H24" s="5">
        <v>2.6</v>
      </c>
    </row>
    <row r="25" spans="1:8" ht="12">
      <c r="A25" t="s">
        <v>333</v>
      </c>
      <c r="B25" s="3">
        <v>0.2</v>
      </c>
      <c r="C25" s="3">
        <v>0.2</v>
      </c>
      <c r="D25" s="3">
        <v>0.2</v>
      </c>
      <c r="E25" s="3">
        <v>0.2</v>
      </c>
      <c r="F25" s="3">
        <v>0.2</v>
      </c>
      <c r="G25" s="3">
        <v>0.2</v>
      </c>
      <c r="H25" s="3">
        <v>0</v>
      </c>
    </row>
    <row r="26" spans="1:8" s="1" customFormat="1" ht="12">
      <c r="A26" s="1" t="s">
        <v>334</v>
      </c>
      <c r="B26" s="2">
        <v>25.6</v>
      </c>
      <c r="C26" s="2">
        <v>28.2</v>
      </c>
      <c r="D26" s="2">
        <v>31.5</v>
      </c>
      <c r="E26" s="2">
        <v>34.2</v>
      </c>
      <c r="F26" s="2">
        <v>36.9</v>
      </c>
      <c r="G26" s="2">
        <v>39.5</v>
      </c>
      <c r="H26" s="2">
        <v>1.7</v>
      </c>
    </row>
    <row r="27" spans="1:8" s="1" customFormat="1" ht="12">
      <c r="A27" s="1" t="s">
        <v>336</v>
      </c>
      <c r="B27" s="2"/>
      <c r="C27" s="2"/>
      <c r="D27" s="2"/>
      <c r="E27" s="2"/>
      <c r="F27" s="2"/>
      <c r="G27" s="2"/>
      <c r="H27" s="2"/>
    </row>
    <row r="28" spans="1:8" ht="12">
      <c r="A28" t="s">
        <v>342</v>
      </c>
      <c r="B28" s="3">
        <v>55.4</v>
      </c>
      <c r="C28" s="3">
        <v>58.6</v>
      </c>
      <c r="D28" s="3">
        <v>61.8</v>
      </c>
      <c r="E28" s="3">
        <v>65.3</v>
      </c>
      <c r="F28" s="3">
        <v>68.3</v>
      </c>
      <c r="G28" s="3">
        <v>72</v>
      </c>
      <c r="H28" s="3">
        <v>1.1</v>
      </c>
    </row>
    <row r="29" spans="1:8" ht="12">
      <c r="A29" t="s">
        <v>441</v>
      </c>
      <c r="B29" s="3">
        <v>45.2</v>
      </c>
      <c r="C29" s="3">
        <v>51.4</v>
      </c>
      <c r="D29" s="3">
        <v>57.6</v>
      </c>
      <c r="E29" s="3">
        <v>62.6</v>
      </c>
      <c r="F29" s="3">
        <v>66.5</v>
      </c>
      <c r="G29" s="3">
        <v>70.2</v>
      </c>
      <c r="H29" s="3">
        <v>1.8</v>
      </c>
    </row>
    <row r="30" spans="1:8" s="4" customFormat="1" ht="12">
      <c r="A30" s="4" t="s">
        <v>442</v>
      </c>
      <c r="B30" s="5">
        <v>41.2</v>
      </c>
      <c r="C30" s="5">
        <v>46</v>
      </c>
      <c r="D30" s="5">
        <v>51</v>
      </c>
      <c r="E30" s="5">
        <v>55.3</v>
      </c>
      <c r="F30" s="5">
        <v>59.9</v>
      </c>
      <c r="G30" s="5">
        <v>64.2</v>
      </c>
      <c r="H30" s="5">
        <v>1.8</v>
      </c>
    </row>
    <row r="31" spans="1:8" s="4" customFormat="1" ht="12">
      <c r="A31" s="4" t="s">
        <v>320</v>
      </c>
      <c r="B31" s="5">
        <v>26.2</v>
      </c>
      <c r="C31" s="5">
        <v>32.7</v>
      </c>
      <c r="D31" s="5">
        <v>38.4</v>
      </c>
      <c r="E31" s="5">
        <v>43.2</v>
      </c>
      <c r="F31" s="5">
        <v>47.9</v>
      </c>
      <c r="G31" s="5">
        <v>52.2</v>
      </c>
      <c r="H31" s="5">
        <v>2.8</v>
      </c>
    </row>
    <row r="32" spans="1:8" ht="12">
      <c r="A32" t="s">
        <v>333</v>
      </c>
      <c r="B32" s="3">
        <v>2</v>
      </c>
      <c r="C32" s="3">
        <v>2.5</v>
      </c>
      <c r="D32" s="3">
        <v>2.9</v>
      </c>
      <c r="E32" s="3">
        <v>3.5</v>
      </c>
      <c r="F32" s="3">
        <v>4.4</v>
      </c>
      <c r="G32" s="3">
        <v>4.5</v>
      </c>
      <c r="H32" s="3">
        <v>3.2</v>
      </c>
    </row>
    <row r="33" spans="1:8" s="1" customFormat="1" ht="12">
      <c r="A33" s="1" t="s">
        <v>334</v>
      </c>
      <c r="B33" s="2">
        <v>170</v>
      </c>
      <c r="C33" s="2">
        <v>191.2</v>
      </c>
      <c r="D33" s="2">
        <v>211.8</v>
      </c>
      <c r="E33" s="2">
        <v>230</v>
      </c>
      <c r="F33" s="2">
        <v>247</v>
      </c>
      <c r="G33" s="2">
        <v>263.1</v>
      </c>
      <c r="H33" s="2">
        <v>1.8</v>
      </c>
    </row>
    <row r="34" spans="1:8" s="1" customFormat="1" ht="12">
      <c r="A34" s="1" t="s">
        <v>337</v>
      </c>
      <c r="B34" s="2"/>
      <c r="C34" s="2"/>
      <c r="D34" s="2"/>
      <c r="E34" s="2"/>
      <c r="F34" s="2"/>
      <c r="G34" s="2"/>
      <c r="H34" s="2"/>
    </row>
    <row r="35" spans="1:8" ht="12">
      <c r="A35" t="s">
        <v>342</v>
      </c>
      <c r="B35" s="3">
        <v>88.2</v>
      </c>
      <c r="C35" s="3">
        <v>98.2</v>
      </c>
      <c r="D35" s="3">
        <v>108.1</v>
      </c>
      <c r="E35" s="3">
        <v>116.2</v>
      </c>
      <c r="F35" s="3">
        <v>123.9</v>
      </c>
      <c r="G35" s="3">
        <v>132.8</v>
      </c>
      <c r="H35" s="3">
        <v>1.6</v>
      </c>
    </row>
    <row r="36" spans="1:8" s="4" customFormat="1" ht="12">
      <c r="A36" s="4" t="s">
        <v>441</v>
      </c>
      <c r="B36" s="5">
        <v>1</v>
      </c>
      <c r="C36" s="5">
        <v>1.1</v>
      </c>
      <c r="D36" s="5">
        <v>1.3</v>
      </c>
      <c r="E36" s="5">
        <v>1.4</v>
      </c>
      <c r="F36" s="5">
        <v>1.5</v>
      </c>
      <c r="G36" s="5">
        <v>1.6</v>
      </c>
      <c r="H36" s="5">
        <v>1.9</v>
      </c>
    </row>
    <row r="37" spans="1:8" ht="12">
      <c r="A37" t="s">
        <v>442</v>
      </c>
      <c r="B37" s="6">
        <v>0.2</v>
      </c>
      <c r="C37" s="6">
        <v>0.2</v>
      </c>
      <c r="D37" s="6">
        <v>0.2</v>
      </c>
      <c r="E37" s="6">
        <v>0.1</v>
      </c>
      <c r="F37" s="6">
        <v>0</v>
      </c>
      <c r="G37" s="6">
        <v>0</v>
      </c>
      <c r="H37" s="6">
        <v>-100</v>
      </c>
    </row>
    <row r="38" spans="1:8" ht="12">
      <c r="A38" t="s">
        <v>320</v>
      </c>
      <c r="B38" s="6">
        <v>0.8</v>
      </c>
      <c r="C38" s="6">
        <v>0.9</v>
      </c>
      <c r="D38" s="6">
        <v>0.9</v>
      </c>
      <c r="E38" s="6">
        <v>1</v>
      </c>
      <c r="F38" s="6">
        <v>1</v>
      </c>
      <c r="G38" s="6">
        <v>1.1</v>
      </c>
      <c r="H38" s="6">
        <v>1.2</v>
      </c>
    </row>
    <row r="39" spans="1:8" s="1" customFormat="1" ht="12">
      <c r="A39" s="1" t="s">
        <v>334</v>
      </c>
      <c r="B39" s="7">
        <v>90.2</v>
      </c>
      <c r="C39" s="7">
        <v>100.4</v>
      </c>
      <c r="D39" s="7">
        <v>110.5</v>
      </c>
      <c r="E39" s="7">
        <v>118.7</v>
      </c>
      <c r="F39" s="7">
        <v>126.5</v>
      </c>
      <c r="G39" s="7">
        <v>135.4</v>
      </c>
      <c r="H39" s="7">
        <v>1.6</v>
      </c>
    </row>
    <row r="40" spans="1:8" s="1" customFormat="1" ht="12">
      <c r="A40" s="1" t="s">
        <v>338</v>
      </c>
      <c r="B40" s="7"/>
      <c r="C40" s="7"/>
      <c r="D40" s="7"/>
      <c r="E40" s="7"/>
      <c r="F40" s="7"/>
      <c r="G40" s="7"/>
      <c r="H40" s="7"/>
    </row>
    <row r="41" spans="1:8" ht="12">
      <c r="A41" t="s">
        <v>342</v>
      </c>
      <c r="B41" s="6">
        <v>159</v>
      </c>
      <c r="C41" s="6">
        <v>172</v>
      </c>
      <c r="D41" s="6">
        <v>185.5</v>
      </c>
      <c r="E41" s="6">
        <v>197.5</v>
      </c>
      <c r="F41" s="6">
        <v>208.5</v>
      </c>
      <c r="G41" s="6">
        <v>221.2</v>
      </c>
      <c r="H41" s="6">
        <v>1.3</v>
      </c>
    </row>
    <row r="42" spans="1:8" ht="12">
      <c r="A42" t="s">
        <v>441</v>
      </c>
      <c r="B42" s="6">
        <v>72.6</v>
      </c>
      <c r="C42" s="6">
        <v>80.7</v>
      </c>
      <c r="D42" s="6">
        <v>89.1</v>
      </c>
      <c r="E42" s="6">
        <v>95.9</v>
      </c>
      <c r="F42" s="6">
        <v>101.3</v>
      </c>
      <c r="G42" s="6">
        <v>106.5</v>
      </c>
      <c r="H42" s="6">
        <v>1.5</v>
      </c>
    </row>
    <row r="43" spans="1:8" ht="12">
      <c r="A43" t="s">
        <v>442</v>
      </c>
      <c r="B43" s="6">
        <v>45.3</v>
      </c>
      <c r="C43" s="6">
        <v>50.4</v>
      </c>
      <c r="D43" s="6">
        <v>55.7</v>
      </c>
      <c r="E43" s="6">
        <v>60</v>
      </c>
      <c r="F43" s="6">
        <v>64.4</v>
      </c>
      <c r="G43" s="6">
        <v>68.5</v>
      </c>
      <c r="H43" s="6">
        <v>1.7</v>
      </c>
    </row>
    <row r="44" spans="1:8" ht="12">
      <c r="A44" t="s">
        <v>320</v>
      </c>
      <c r="B44" s="6">
        <v>54.4</v>
      </c>
      <c r="C44" s="6">
        <v>66.3</v>
      </c>
      <c r="D44" s="6">
        <v>77.1</v>
      </c>
      <c r="E44" s="6">
        <v>86.4</v>
      </c>
      <c r="F44" s="6">
        <v>95.4</v>
      </c>
      <c r="G44" s="6">
        <v>104.1</v>
      </c>
      <c r="H44" s="6">
        <v>2.6</v>
      </c>
    </row>
    <row r="45" spans="1:8" ht="12">
      <c r="A45" t="s">
        <v>333</v>
      </c>
      <c r="B45" s="6">
        <v>2.9</v>
      </c>
      <c r="C45" s="6">
        <v>3.4</v>
      </c>
      <c r="D45" s="6">
        <v>3.8</v>
      </c>
      <c r="E45" s="6">
        <v>4.3</v>
      </c>
      <c r="F45" s="6">
        <v>5.2</v>
      </c>
      <c r="G45" s="6">
        <v>5.3</v>
      </c>
      <c r="H45" s="6">
        <v>2.4</v>
      </c>
    </row>
    <row r="46" spans="1:8" s="1" customFormat="1" ht="12">
      <c r="A46" s="1" t="s">
        <v>339</v>
      </c>
      <c r="B46" s="7">
        <v>334.3</v>
      </c>
      <c r="C46" s="7">
        <v>372.6</v>
      </c>
      <c r="D46" s="7">
        <v>411.2</v>
      </c>
      <c r="E46" s="7">
        <v>444.2</v>
      </c>
      <c r="F46" s="7">
        <v>474.8</v>
      </c>
      <c r="G46" s="7">
        <v>505.7</v>
      </c>
      <c r="H46" s="7">
        <v>1.7</v>
      </c>
    </row>
    <row r="47" spans="1:8" ht="12">
      <c r="A47" t="s">
        <v>277</v>
      </c>
      <c r="B47" s="6">
        <v>128</v>
      </c>
      <c r="C47" s="6">
        <v>139.8</v>
      </c>
      <c r="D47" s="6">
        <v>151.8</v>
      </c>
      <c r="E47" s="6">
        <v>164.2</v>
      </c>
      <c r="F47" s="6">
        <v>177</v>
      </c>
      <c r="G47" s="6">
        <v>189</v>
      </c>
      <c r="H47" s="6">
        <v>1.6</v>
      </c>
    </row>
    <row r="48" spans="1:8" s="1" customFormat="1" ht="12">
      <c r="A48" s="1" t="s">
        <v>334</v>
      </c>
      <c r="B48" s="7">
        <v>462.2</v>
      </c>
      <c r="C48" s="7">
        <v>512.5</v>
      </c>
      <c r="D48" s="7">
        <v>563</v>
      </c>
      <c r="E48" s="7">
        <v>608.4</v>
      </c>
      <c r="F48" s="7">
        <v>651.8</v>
      </c>
      <c r="G48" s="7">
        <v>694.7</v>
      </c>
      <c r="H48" s="7">
        <v>1.6</v>
      </c>
    </row>
    <row r="49" spans="1:8" s="1" customFormat="1" ht="12">
      <c r="A49" s="1" t="s">
        <v>278</v>
      </c>
      <c r="B49" s="7"/>
      <c r="C49" s="7"/>
      <c r="D49" s="7"/>
      <c r="E49" s="7"/>
      <c r="F49" s="7"/>
      <c r="G49" s="7"/>
      <c r="H49" s="7"/>
    </row>
    <row r="50" spans="1:8" ht="12">
      <c r="A50" t="s">
        <v>342</v>
      </c>
      <c r="B50" s="6">
        <v>10.4</v>
      </c>
      <c r="C50" s="6">
        <v>9.2</v>
      </c>
      <c r="D50" s="6">
        <v>8.9</v>
      </c>
      <c r="E50" s="6">
        <v>8.6</v>
      </c>
      <c r="F50" s="6">
        <v>8.4</v>
      </c>
      <c r="G50" s="6">
        <v>8.1</v>
      </c>
      <c r="H50" s="6">
        <v>-1</v>
      </c>
    </row>
    <row r="51" spans="1:8" ht="12">
      <c r="A51" t="s">
        <v>441</v>
      </c>
      <c r="B51" s="6">
        <v>34.7</v>
      </c>
      <c r="C51" s="6">
        <v>39.6</v>
      </c>
      <c r="D51" s="6">
        <v>45.2</v>
      </c>
      <c r="E51" s="6">
        <v>51</v>
      </c>
      <c r="F51" s="6">
        <v>54.5</v>
      </c>
      <c r="G51" s="6">
        <v>58.2</v>
      </c>
      <c r="H51" s="6">
        <v>2.1</v>
      </c>
    </row>
    <row r="52" spans="1:8" ht="12">
      <c r="A52" t="s">
        <v>442</v>
      </c>
      <c r="B52" s="6">
        <v>77.2</v>
      </c>
      <c r="C52" s="6">
        <v>89.8</v>
      </c>
      <c r="D52" s="6">
        <v>102</v>
      </c>
      <c r="E52" s="6">
        <v>111.7</v>
      </c>
      <c r="F52" s="6">
        <v>122.3</v>
      </c>
      <c r="G52" s="6">
        <v>133.7</v>
      </c>
      <c r="H52" s="6">
        <v>2.2</v>
      </c>
    </row>
    <row r="53" spans="1:8" ht="12">
      <c r="A53" t="s">
        <v>340</v>
      </c>
      <c r="B53" s="6">
        <v>27.5</v>
      </c>
      <c r="C53" s="6">
        <v>28.8</v>
      </c>
      <c r="D53" s="6">
        <v>31.4</v>
      </c>
      <c r="E53" s="6">
        <v>34.5</v>
      </c>
      <c r="F53" s="6">
        <v>37.7</v>
      </c>
      <c r="G53" s="6">
        <v>39.4</v>
      </c>
      <c r="H53" s="6">
        <v>1.5</v>
      </c>
    </row>
    <row r="54" spans="1:8" ht="12">
      <c r="A54" t="s">
        <v>333</v>
      </c>
      <c r="B54" s="6">
        <v>32.4</v>
      </c>
      <c r="C54" s="6">
        <v>38.5</v>
      </c>
      <c r="D54" s="6">
        <v>41.1</v>
      </c>
      <c r="E54" s="6">
        <v>44.8</v>
      </c>
      <c r="F54" s="6">
        <v>49.4</v>
      </c>
      <c r="G54" s="6">
        <v>53.6</v>
      </c>
      <c r="H54" s="6">
        <v>2</v>
      </c>
    </row>
    <row r="55" spans="1:8" s="1" customFormat="1" ht="12">
      <c r="A55" s="1" t="s">
        <v>334</v>
      </c>
      <c r="B55" s="7">
        <v>182.4</v>
      </c>
      <c r="C55" s="7">
        <v>206.1</v>
      </c>
      <c r="D55" s="7">
        <v>228.8</v>
      </c>
      <c r="E55" s="7">
        <v>250.6</v>
      </c>
      <c r="F55" s="7">
        <v>272.4</v>
      </c>
      <c r="G55" s="7">
        <v>293.1</v>
      </c>
      <c r="H55" s="7">
        <v>1.9</v>
      </c>
    </row>
    <row r="56" spans="1:8" s="1" customFormat="1" ht="12">
      <c r="A56" s="1" t="s">
        <v>341</v>
      </c>
      <c r="B56" s="7"/>
      <c r="C56" s="7"/>
      <c r="D56" s="7"/>
      <c r="E56" s="7"/>
      <c r="F56" s="7"/>
      <c r="G56" s="7"/>
      <c r="H56" s="7"/>
    </row>
    <row r="57" spans="1:8" ht="12">
      <c r="A57" t="s">
        <v>342</v>
      </c>
      <c r="B57" s="6">
        <v>169.4</v>
      </c>
      <c r="C57" s="6">
        <v>181.1</v>
      </c>
      <c r="D57" s="6">
        <v>194.4</v>
      </c>
      <c r="E57" s="6">
        <v>206.1</v>
      </c>
      <c r="F57" s="6">
        <v>216.9</v>
      </c>
      <c r="G57" s="6">
        <v>229.3</v>
      </c>
      <c r="H57" s="6">
        <v>1.2</v>
      </c>
    </row>
    <row r="58" spans="1:8" ht="12">
      <c r="A58" t="s">
        <v>441</v>
      </c>
      <c r="B58" s="6">
        <v>107.4</v>
      </c>
      <c r="C58" s="6">
        <v>120.3</v>
      </c>
      <c r="D58" s="6">
        <v>134.4</v>
      </c>
      <c r="E58" s="6">
        <v>146.9</v>
      </c>
      <c r="F58" s="6">
        <v>155.8</v>
      </c>
      <c r="G58" s="6">
        <v>164.7</v>
      </c>
      <c r="H58" s="6">
        <v>1.7</v>
      </c>
    </row>
    <row r="59" spans="1:8" ht="12">
      <c r="A59" t="s">
        <v>442</v>
      </c>
      <c r="B59" s="6">
        <v>122.5</v>
      </c>
      <c r="C59" s="6">
        <v>140.2</v>
      </c>
      <c r="D59" s="6">
        <v>157.8</v>
      </c>
      <c r="E59" s="6">
        <v>171.7</v>
      </c>
      <c r="F59" s="6">
        <v>186.7</v>
      </c>
      <c r="G59" s="6">
        <v>202.2</v>
      </c>
      <c r="H59" s="6">
        <v>2</v>
      </c>
    </row>
    <row r="60" spans="1:8" ht="12">
      <c r="A60" t="s">
        <v>340</v>
      </c>
      <c r="B60" s="6">
        <v>27.5</v>
      </c>
      <c r="C60" s="6">
        <v>28.8</v>
      </c>
      <c r="D60" s="6">
        <v>31.4</v>
      </c>
      <c r="E60" s="6">
        <v>34.5</v>
      </c>
      <c r="F60" s="6">
        <v>37.7</v>
      </c>
      <c r="G60" s="6">
        <v>39.4</v>
      </c>
      <c r="H60" s="6">
        <v>1.5</v>
      </c>
    </row>
    <row r="61" spans="1:8" ht="12">
      <c r="A61" t="s">
        <v>333</v>
      </c>
      <c r="B61" s="6">
        <v>35.5</v>
      </c>
      <c r="C61" s="6">
        <v>42</v>
      </c>
      <c r="D61" s="6">
        <v>45</v>
      </c>
      <c r="E61" s="6">
        <v>49.3</v>
      </c>
      <c r="F61" s="6">
        <v>54.7</v>
      </c>
      <c r="G61" s="6">
        <v>59</v>
      </c>
      <c r="H61" s="6">
        <v>2.1</v>
      </c>
    </row>
    <row r="62" spans="1:8" s="1" customFormat="1" ht="12">
      <c r="A62" s="1" t="s">
        <v>334</v>
      </c>
      <c r="B62" s="7">
        <v>462.2</v>
      </c>
      <c r="C62" s="7">
        <v>512.5</v>
      </c>
      <c r="D62" s="7">
        <v>563</v>
      </c>
      <c r="E62" s="7">
        <v>608.4</v>
      </c>
      <c r="F62" s="7">
        <v>651.8</v>
      </c>
      <c r="G62" s="7">
        <v>694.7</v>
      </c>
      <c r="H62" s="7">
        <v>1.6</v>
      </c>
    </row>
    <row r="64" ht="12">
      <c r="A64" t="s">
        <v>404</v>
      </c>
    </row>
    <row r="65" ht="12">
      <c r="A65" t="s">
        <v>405</v>
      </c>
    </row>
    <row r="66" ht="12">
      <c r="A66" t="s">
        <v>403</v>
      </c>
    </row>
    <row r="67" ht="12">
      <c r="A67" t="s">
        <v>406</v>
      </c>
    </row>
    <row r="68" ht="12">
      <c r="A68" t="s">
        <v>421</v>
      </c>
    </row>
  </sheetData>
  <mergeCells count="1">
    <mergeCell ref="H10:J11"/>
  </mergeCells>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J68"/>
  <sheetViews>
    <sheetView zoomScale="150" zoomScaleNormal="150" workbookViewId="0" topLeftCell="A1">
      <selection activeCell="B50" sqref="B50"/>
    </sheetView>
  </sheetViews>
  <sheetFormatPr defaultColWidth="11.421875" defaultRowHeight="12.75"/>
  <cols>
    <col min="1" max="1" width="31.421875" style="0" customWidth="1"/>
    <col min="2" max="2" width="9.421875" style="0" bestFit="1" customWidth="1"/>
    <col min="3" max="3" width="9.28125" style="0" bestFit="1" customWidth="1"/>
    <col min="4" max="6" width="9.421875" style="0" bestFit="1" customWidth="1"/>
    <col min="7" max="8" width="9.28125" style="0" bestFit="1" customWidth="1"/>
    <col min="9" max="16384" width="8.8515625" style="0" customWidth="1"/>
  </cols>
  <sheetData>
    <row r="1" ht="12">
      <c r="A1" t="s">
        <v>422</v>
      </c>
    </row>
    <row r="2" ht="12">
      <c r="A2" t="s">
        <v>423</v>
      </c>
    </row>
    <row r="3" ht="12">
      <c r="A3" t="s">
        <v>424</v>
      </c>
    </row>
    <row r="4" ht="12">
      <c r="A4" t="s">
        <v>425</v>
      </c>
    </row>
    <row r="5" ht="12">
      <c r="A5" t="s">
        <v>426</v>
      </c>
    </row>
    <row r="7" s="1" customFormat="1" ht="12">
      <c r="A7" s="1" t="s">
        <v>373</v>
      </c>
    </row>
    <row r="8" s="1" customFormat="1" ht="12">
      <c r="A8" s="1" t="s">
        <v>436</v>
      </c>
    </row>
    <row r="9" s="1" customFormat="1" ht="12"/>
    <row r="10" spans="1:10" s="1" customFormat="1" ht="12.75" customHeight="1">
      <c r="A10" s="1" t="s">
        <v>439</v>
      </c>
      <c r="C10" s="1" t="s">
        <v>437</v>
      </c>
      <c r="H10" s="173" t="s">
        <v>465</v>
      </c>
      <c r="I10" s="173"/>
      <c r="J10" s="174"/>
    </row>
    <row r="11" spans="2:10" s="1" customFormat="1" ht="12">
      <c r="B11" s="1">
        <v>2005</v>
      </c>
      <c r="C11" s="1">
        <v>2010</v>
      </c>
      <c r="D11" s="1">
        <v>2015</v>
      </c>
      <c r="E11" s="1">
        <v>2020</v>
      </c>
      <c r="F11" s="1">
        <v>2025</v>
      </c>
      <c r="G11" s="1">
        <v>2030</v>
      </c>
      <c r="H11" s="173"/>
      <c r="I11" s="173"/>
      <c r="J11" s="174"/>
    </row>
    <row r="12" s="1" customFormat="1" ht="12"/>
    <row r="13" spans="1:8" s="1" customFormat="1" ht="12">
      <c r="A13" s="1" t="s">
        <v>440</v>
      </c>
      <c r="B13" s="2"/>
      <c r="C13" s="2"/>
      <c r="D13" s="2"/>
      <c r="E13" s="2"/>
      <c r="F13" s="2"/>
      <c r="G13" s="2"/>
      <c r="H13" s="2"/>
    </row>
    <row r="14" spans="1:8" ht="12">
      <c r="A14" t="s">
        <v>342</v>
      </c>
      <c r="B14" s="8">
        <v>5.3</v>
      </c>
      <c r="C14" s="8">
        <v>5</v>
      </c>
      <c r="D14" s="8">
        <v>5.1</v>
      </c>
      <c r="E14" s="8">
        <v>5.1</v>
      </c>
      <c r="F14" s="8">
        <v>5.1</v>
      </c>
      <c r="G14" s="8">
        <v>5.1</v>
      </c>
      <c r="H14" s="8">
        <v>-0.2</v>
      </c>
    </row>
    <row r="15" spans="1:8" ht="12">
      <c r="A15" t="s">
        <v>441</v>
      </c>
      <c r="B15" s="8">
        <v>12.2</v>
      </c>
      <c r="C15" s="8">
        <v>12.3</v>
      </c>
      <c r="D15" s="8">
        <v>12.6</v>
      </c>
      <c r="E15" s="8">
        <v>12.9</v>
      </c>
      <c r="F15" s="8">
        <v>13</v>
      </c>
      <c r="G15" s="8">
        <v>13.1</v>
      </c>
      <c r="H15" s="8">
        <v>0.3</v>
      </c>
    </row>
    <row r="16" spans="1:8" ht="12">
      <c r="A16" t="s">
        <v>442</v>
      </c>
      <c r="B16" s="8">
        <v>0.5</v>
      </c>
      <c r="C16" s="8">
        <v>0.4</v>
      </c>
      <c r="D16" s="8">
        <v>0.4</v>
      </c>
      <c r="E16" s="8">
        <v>0.4</v>
      </c>
      <c r="F16" s="8">
        <v>0.4</v>
      </c>
      <c r="G16" s="8">
        <v>0.4</v>
      </c>
      <c r="H16" s="8">
        <v>-1.3</v>
      </c>
    </row>
    <row r="17" spans="1:8" s="4" customFormat="1" ht="12">
      <c r="A17" s="4" t="s">
        <v>320</v>
      </c>
      <c r="B17" s="5">
        <v>10</v>
      </c>
      <c r="C17" s="5">
        <v>11</v>
      </c>
      <c r="D17" s="5">
        <v>11.5</v>
      </c>
      <c r="E17" s="5">
        <v>12.2</v>
      </c>
      <c r="F17" s="5">
        <v>12.8</v>
      </c>
      <c r="G17" s="5">
        <v>13.5</v>
      </c>
      <c r="H17" s="5">
        <v>1.2</v>
      </c>
    </row>
    <row r="18" spans="1:8" ht="12">
      <c r="A18" t="s">
        <v>333</v>
      </c>
      <c r="B18" s="8">
        <v>0.6</v>
      </c>
      <c r="C18" s="8">
        <v>0.6</v>
      </c>
      <c r="D18" s="8">
        <v>0.5</v>
      </c>
      <c r="E18" s="8">
        <v>0.5</v>
      </c>
      <c r="F18" s="8">
        <v>0.5</v>
      </c>
      <c r="G18" s="8">
        <v>0.5</v>
      </c>
      <c r="H18" s="8">
        <v>-0.5</v>
      </c>
    </row>
    <row r="19" spans="1:8" s="1" customFormat="1" ht="12">
      <c r="A19" s="1" t="s">
        <v>334</v>
      </c>
      <c r="B19" s="2">
        <v>28.6</v>
      </c>
      <c r="C19" s="2">
        <v>29.3</v>
      </c>
      <c r="D19" s="2">
        <v>30.2</v>
      </c>
      <c r="E19" s="2">
        <v>31</v>
      </c>
      <c r="F19" s="2">
        <v>31.8</v>
      </c>
      <c r="G19" s="2">
        <v>32.6</v>
      </c>
      <c r="H19" s="2">
        <v>0.5</v>
      </c>
    </row>
    <row r="20" spans="1:8" s="1" customFormat="1" ht="12">
      <c r="A20" s="1" t="s">
        <v>335</v>
      </c>
      <c r="B20" s="2"/>
      <c r="C20" s="2"/>
      <c r="D20" s="2"/>
      <c r="E20" s="2"/>
      <c r="F20" s="2"/>
      <c r="G20" s="2"/>
      <c r="H20" s="2"/>
    </row>
    <row r="21" spans="1:8" s="4" customFormat="1" ht="12">
      <c r="A21" s="4" t="s">
        <v>342</v>
      </c>
      <c r="B21" s="5">
        <v>3.5</v>
      </c>
      <c r="C21" s="5">
        <v>3.2</v>
      </c>
      <c r="D21" s="5">
        <v>3.3</v>
      </c>
      <c r="E21" s="5">
        <v>3.3</v>
      </c>
      <c r="F21" s="5">
        <v>3.4</v>
      </c>
      <c r="G21" s="5">
        <v>3.4</v>
      </c>
      <c r="H21" s="5">
        <v>-0.1</v>
      </c>
    </row>
    <row r="22" spans="1:8" s="4" customFormat="1" ht="12">
      <c r="A22" s="4" t="s">
        <v>441</v>
      </c>
      <c r="B22" s="5">
        <v>6.3</v>
      </c>
      <c r="C22" s="5">
        <v>6.3</v>
      </c>
      <c r="D22" s="5">
        <v>6.7</v>
      </c>
      <c r="E22" s="5">
        <v>7</v>
      </c>
      <c r="F22" s="5">
        <v>7.2</v>
      </c>
      <c r="G22" s="5">
        <v>7.4</v>
      </c>
      <c r="H22" s="5">
        <v>0.7</v>
      </c>
    </row>
    <row r="23" spans="1:8" s="4" customFormat="1" ht="12">
      <c r="A23" s="4" t="s">
        <v>442</v>
      </c>
      <c r="B23" s="5">
        <v>0.2</v>
      </c>
      <c r="C23" s="5">
        <v>0.2</v>
      </c>
      <c r="D23" s="5">
        <v>0.2</v>
      </c>
      <c r="E23" s="5">
        <v>0.2</v>
      </c>
      <c r="F23" s="5">
        <v>0.2</v>
      </c>
      <c r="G23" s="5">
        <v>0.2</v>
      </c>
      <c r="H23" s="5">
        <v>-0.6</v>
      </c>
    </row>
    <row r="24" spans="1:8" s="4" customFormat="1" ht="12">
      <c r="A24" s="4" t="s">
        <v>320</v>
      </c>
      <c r="B24" s="5">
        <v>9.1</v>
      </c>
      <c r="C24" s="5">
        <v>10.3</v>
      </c>
      <c r="D24" s="5">
        <v>11.4</v>
      </c>
      <c r="E24" s="5">
        <v>12.3</v>
      </c>
      <c r="F24" s="5">
        <v>13.3</v>
      </c>
      <c r="G24" s="5">
        <v>14.2</v>
      </c>
      <c r="H24" s="5">
        <v>1.8</v>
      </c>
    </row>
    <row r="25" spans="1:8" ht="12">
      <c r="A25" t="s">
        <v>333</v>
      </c>
      <c r="B25" s="8">
        <v>0.1</v>
      </c>
      <c r="C25" s="8">
        <v>0.1</v>
      </c>
      <c r="D25" s="8">
        <v>0.1</v>
      </c>
      <c r="E25" s="8">
        <v>0.1</v>
      </c>
      <c r="F25" s="8">
        <v>0.1</v>
      </c>
      <c r="G25" s="8">
        <v>0.1</v>
      </c>
      <c r="H25" s="8">
        <v>0</v>
      </c>
    </row>
    <row r="26" spans="1:8" s="1" customFormat="1" ht="12">
      <c r="A26" s="1" t="s">
        <v>334</v>
      </c>
      <c r="B26" s="2">
        <v>19.2</v>
      </c>
      <c r="C26" s="2">
        <v>20.2</v>
      </c>
      <c r="D26" s="2">
        <v>21.7</v>
      </c>
      <c r="E26" s="2">
        <v>23</v>
      </c>
      <c r="F26" s="2">
        <v>24.2</v>
      </c>
      <c r="G26" s="2">
        <v>25.3</v>
      </c>
      <c r="H26" s="2">
        <v>1.1</v>
      </c>
    </row>
    <row r="27" spans="1:8" s="1" customFormat="1" ht="12">
      <c r="A27" s="1" t="s">
        <v>336</v>
      </c>
      <c r="B27" s="2"/>
      <c r="C27" s="2"/>
      <c r="D27" s="2"/>
      <c r="E27" s="2"/>
      <c r="F27" s="2"/>
      <c r="G27" s="2"/>
      <c r="H27" s="2"/>
    </row>
    <row r="28" spans="1:8" ht="12">
      <c r="A28" t="s">
        <v>342</v>
      </c>
      <c r="B28" s="8">
        <v>28.5</v>
      </c>
      <c r="C28" s="8">
        <v>28</v>
      </c>
      <c r="D28" s="8">
        <v>28.5</v>
      </c>
      <c r="E28" s="8">
        <v>28.4</v>
      </c>
      <c r="F28" s="8">
        <v>28.6</v>
      </c>
      <c r="G28" s="8">
        <v>29.1</v>
      </c>
      <c r="H28" s="8">
        <v>0.1</v>
      </c>
    </row>
    <row r="29" spans="1:8" ht="12">
      <c r="A29" t="s">
        <v>441</v>
      </c>
      <c r="B29" s="8">
        <v>17.9</v>
      </c>
      <c r="C29" s="8">
        <v>19.3</v>
      </c>
      <c r="D29" s="8">
        <v>20.2</v>
      </c>
      <c r="E29" s="8">
        <v>20.8</v>
      </c>
      <c r="F29" s="8">
        <v>21.5</v>
      </c>
      <c r="G29" s="8">
        <v>22</v>
      </c>
      <c r="H29" s="8">
        <v>0.8</v>
      </c>
    </row>
    <row r="30" spans="1:8" s="4" customFormat="1" ht="12">
      <c r="A30" s="4" t="s">
        <v>442</v>
      </c>
      <c r="B30" s="5">
        <v>9.2</v>
      </c>
      <c r="C30" s="5">
        <v>9.3</v>
      </c>
      <c r="D30" s="5">
        <v>9.4</v>
      </c>
      <c r="E30" s="5">
        <v>9.4</v>
      </c>
      <c r="F30" s="5">
        <v>9.4</v>
      </c>
      <c r="G30" s="5">
        <v>9.5</v>
      </c>
      <c r="H30" s="5">
        <v>0.1</v>
      </c>
    </row>
    <row r="31" spans="1:8" s="4" customFormat="1" ht="12">
      <c r="A31" s="4" t="s">
        <v>320</v>
      </c>
      <c r="B31" s="5">
        <v>11.3</v>
      </c>
      <c r="C31" s="5">
        <v>12</v>
      </c>
      <c r="D31" s="5">
        <v>12.7</v>
      </c>
      <c r="E31" s="5">
        <v>13.2</v>
      </c>
      <c r="F31" s="5">
        <v>13.6</v>
      </c>
      <c r="G31" s="5">
        <v>14.1</v>
      </c>
      <c r="H31" s="5">
        <v>0.9</v>
      </c>
    </row>
    <row r="32" spans="1:8" ht="12">
      <c r="A32" t="s">
        <v>333</v>
      </c>
      <c r="B32" s="8">
        <v>2</v>
      </c>
      <c r="C32" s="8">
        <v>2.4</v>
      </c>
      <c r="D32" s="8">
        <v>2.8</v>
      </c>
      <c r="E32" s="8">
        <v>3.4</v>
      </c>
      <c r="F32" s="8">
        <v>4.3</v>
      </c>
      <c r="G32" s="8">
        <v>4.4</v>
      </c>
      <c r="H32" s="8">
        <v>3.3</v>
      </c>
    </row>
    <row r="33" spans="1:8" s="1" customFormat="1" ht="12">
      <c r="A33" s="1" t="s">
        <v>334</v>
      </c>
      <c r="B33" s="2">
        <v>68.8</v>
      </c>
      <c r="C33" s="2">
        <v>71</v>
      </c>
      <c r="D33" s="2">
        <v>73.6</v>
      </c>
      <c r="E33" s="2">
        <v>75.2</v>
      </c>
      <c r="F33" s="2">
        <v>77.3</v>
      </c>
      <c r="G33" s="2">
        <v>79.1</v>
      </c>
      <c r="H33" s="2">
        <v>0.6</v>
      </c>
    </row>
    <row r="34" spans="1:8" s="1" customFormat="1" ht="12">
      <c r="A34" s="1" t="s">
        <v>337</v>
      </c>
      <c r="B34" s="2"/>
      <c r="C34" s="2"/>
      <c r="D34" s="2"/>
      <c r="E34" s="2"/>
      <c r="F34" s="2"/>
      <c r="G34" s="2"/>
      <c r="H34" s="2"/>
    </row>
    <row r="35" spans="1:8" ht="12">
      <c r="A35" t="s">
        <v>342</v>
      </c>
      <c r="B35" s="8">
        <v>57.5</v>
      </c>
      <c r="C35" s="8">
        <v>59.4</v>
      </c>
      <c r="D35" s="8">
        <v>62.6</v>
      </c>
      <c r="E35" s="8">
        <v>64.4</v>
      </c>
      <c r="F35" s="8">
        <v>65.8</v>
      </c>
      <c r="G35" s="8">
        <v>67.6</v>
      </c>
      <c r="H35" s="8">
        <v>0.7</v>
      </c>
    </row>
    <row r="36" spans="1:8" s="4" customFormat="1" ht="12">
      <c r="A36" s="4" t="s">
        <v>441</v>
      </c>
      <c r="B36" s="5">
        <v>0.7</v>
      </c>
      <c r="C36" s="5">
        <v>0.7</v>
      </c>
      <c r="D36" s="5">
        <v>0.8</v>
      </c>
      <c r="E36" s="5">
        <v>0.8</v>
      </c>
      <c r="F36" s="5">
        <v>0.9</v>
      </c>
      <c r="G36" s="5">
        <v>0.9</v>
      </c>
      <c r="H36" s="5">
        <v>1.1</v>
      </c>
    </row>
    <row r="37" spans="1:8" ht="12">
      <c r="A37" t="s">
        <v>442</v>
      </c>
      <c r="B37" s="6">
        <v>0</v>
      </c>
      <c r="C37" s="6">
        <v>0</v>
      </c>
      <c r="D37" s="6">
        <v>0</v>
      </c>
      <c r="E37" s="6">
        <v>0</v>
      </c>
      <c r="F37" s="6">
        <v>0</v>
      </c>
      <c r="G37" s="6">
        <v>0</v>
      </c>
      <c r="H37" s="9">
        <v>-100</v>
      </c>
    </row>
    <row r="38" spans="1:8" ht="12">
      <c r="A38" t="s">
        <v>320</v>
      </c>
      <c r="B38" s="6">
        <v>0.4</v>
      </c>
      <c r="C38" s="6">
        <v>0.4</v>
      </c>
      <c r="D38" s="6">
        <v>0.4</v>
      </c>
      <c r="E38" s="6">
        <v>0.4</v>
      </c>
      <c r="F38" s="6">
        <v>0.4</v>
      </c>
      <c r="G38" s="6">
        <v>0.4</v>
      </c>
      <c r="H38" s="6">
        <v>0.3</v>
      </c>
    </row>
    <row r="39" spans="1:8" s="1" customFormat="1" ht="12">
      <c r="A39" s="1" t="s">
        <v>334</v>
      </c>
      <c r="B39" s="7">
        <v>58.5</v>
      </c>
      <c r="C39" s="7">
        <v>60.5</v>
      </c>
      <c r="D39" s="7">
        <v>63.8</v>
      </c>
      <c r="E39" s="7">
        <v>65.6</v>
      </c>
      <c r="F39" s="7">
        <v>67</v>
      </c>
      <c r="G39" s="7">
        <v>68.8</v>
      </c>
      <c r="H39" s="7">
        <v>0.7</v>
      </c>
    </row>
    <row r="40" spans="1:8" s="1" customFormat="1" ht="12">
      <c r="A40" s="1" t="s">
        <v>338</v>
      </c>
      <c r="B40" s="7"/>
      <c r="C40" s="7"/>
      <c r="D40" s="7"/>
      <c r="E40" s="7"/>
      <c r="F40" s="7"/>
      <c r="G40" s="7"/>
      <c r="H40" s="7"/>
    </row>
    <row r="41" spans="1:8" ht="12">
      <c r="A41" t="s">
        <v>342</v>
      </c>
      <c r="B41" s="6">
        <v>94.7</v>
      </c>
      <c r="C41" s="6">
        <v>95.7</v>
      </c>
      <c r="D41" s="6">
        <v>99.5</v>
      </c>
      <c r="E41" s="6">
        <v>101.3</v>
      </c>
      <c r="F41" s="6">
        <v>102.8</v>
      </c>
      <c r="G41" s="6">
        <v>105.1</v>
      </c>
      <c r="H41" s="6">
        <v>0.4</v>
      </c>
    </row>
    <row r="42" spans="1:8" ht="12">
      <c r="A42" t="s">
        <v>441</v>
      </c>
      <c r="B42" s="6">
        <v>37.1</v>
      </c>
      <c r="C42" s="6">
        <v>38.8</v>
      </c>
      <c r="D42" s="6">
        <v>40.3</v>
      </c>
      <c r="E42" s="6">
        <v>41.5</v>
      </c>
      <c r="F42" s="6">
        <v>42.6</v>
      </c>
      <c r="G42" s="6">
        <v>43.4</v>
      </c>
      <c r="H42" s="6">
        <v>0.6</v>
      </c>
    </row>
    <row r="43" spans="1:8" ht="12">
      <c r="A43" t="s">
        <v>442</v>
      </c>
      <c r="B43" s="6">
        <v>9.9</v>
      </c>
      <c r="C43" s="6">
        <v>9.9</v>
      </c>
      <c r="D43" s="6">
        <v>9.9</v>
      </c>
      <c r="E43" s="6">
        <v>10</v>
      </c>
      <c r="F43" s="6">
        <v>9.9</v>
      </c>
      <c r="G43" s="6">
        <v>10</v>
      </c>
      <c r="H43" s="6">
        <v>0.1</v>
      </c>
    </row>
    <row r="44" spans="1:8" ht="12">
      <c r="A44" t="s">
        <v>320</v>
      </c>
      <c r="B44" s="6">
        <v>30.8</v>
      </c>
      <c r="C44" s="6">
        <v>33.6</v>
      </c>
      <c r="D44" s="6">
        <v>36</v>
      </c>
      <c r="E44" s="6">
        <v>38.1</v>
      </c>
      <c r="F44" s="6">
        <v>40</v>
      </c>
      <c r="G44" s="6">
        <v>42.2</v>
      </c>
      <c r="H44" s="6">
        <v>1.3</v>
      </c>
    </row>
    <row r="45" spans="1:8" ht="12">
      <c r="A45" t="s">
        <v>333</v>
      </c>
      <c r="B45" s="6">
        <v>2.7</v>
      </c>
      <c r="C45" s="6">
        <v>3.1</v>
      </c>
      <c r="D45" s="6">
        <v>3.5</v>
      </c>
      <c r="E45" s="6">
        <v>4.1</v>
      </c>
      <c r="F45" s="6">
        <v>5</v>
      </c>
      <c r="G45" s="6">
        <v>5.1</v>
      </c>
      <c r="H45" s="6">
        <v>2.6</v>
      </c>
    </row>
    <row r="46" spans="1:8" s="1" customFormat="1" ht="12">
      <c r="A46" s="1" t="s">
        <v>339</v>
      </c>
      <c r="B46" s="7">
        <v>175.2</v>
      </c>
      <c r="C46" s="7">
        <v>181</v>
      </c>
      <c r="D46" s="7">
        <v>189.3</v>
      </c>
      <c r="E46" s="7">
        <v>194.9</v>
      </c>
      <c r="F46" s="7">
        <v>200.3</v>
      </c>
      <c r="G46" s="7">
        <v>205.8</v>
      </c>
      <c r="H46" s="7">
        <v>0.6</v>
      </c>
    </row>
    <row r="47" spans="1:8" ht="12">
      <c r="A47" t="s">
        <v>277</v>
      </c>
      <c r="B47" s="6">
        <v>65.8</v>
      </c>
      <c r="C47" s="6">
        <v>68.6</v>
      </c>
      <c r="D47" s="6">
        <v>71.2</v>
      </c>
      <c r="E47" s="6">
        <v>74.1</v>
      </c>
      <c r="F47" s="6">
        <v>77.2</v>
      </c>
      <c r="G47" s="6">
        <v>80.1</v>
      </c>
      <c r="H47" s="6">
        <v>0.8</v>
      </c>
    </row>
    <row r="48" spans="1:8" s="1" customFormat="1" ht="12">
      <c r="A48" s="1" t="s">
        <v>334</v>
      </c>
      <c r="B48" s="7">
        <v>240.9</v>
      </c>
      <c r="C48" s="7">
        <v>249.7</v>
      </c>
      <c r="D48" s="7">
        <v>260.5</v>
      </c>
      <c r="E48" s="7">
        <v>269</v>
      </c>
      <c r="F48" s="7">
        <v>277.6</v>
      </c>
      <c r="G48" s="7">
        <v>285.9</v>
      </c>
      <c r="H48" s="7">
        <v>0.7</v>
      </c>
    </row>
    <row r="49" spans="1:8" s="1" customFormat="1" ht="12">
      <c r="A49" s="1" t="s">
        <v>278</v>
      </c>
      <c r="B49" s="7"/>
      <c r="C49" s="7"/>
      <c r="D49" s="7"/>
      <c r="E49" s="7"/>
      <c r="F49" s="7"/>
      <c r="G49" s="7"/>
      <c r="H49" s="7"/>
    </row>
    <row r="50" spans="1:8" ht="12">
      <c r="A50" t="s">
        <v>342</v>
      </c>
      <c r="B50" s="6">
        <v>3.9</v>
      </c>
      <c r="C50" s="6">
        <v>2.9</v>
      </c>
      <c r="D50" s="6">
        <v>2.6</v>
      </c>
      <c r="E50" s="6">
        <v>2.4</v>
      </c>
      <c r="F50" s="6">
        <v>2.2</v>
      </c>
      <c r="G50" s="6">
        <v>2</v>
      </c>
      <c r="H50" s="6">
        <v>-2.6</v>
      </c>
    </row>
    <row r="51" spans="1:8" ht="12">
      <c r="A51" t="s">
        <v>441</v>
      </c>
      <c r="B51" s="6">
        <v>16.4</v>
      </c>
      <c r="C51" s="6">
        <v>18.5</v>
      </c>
      <c r="D51" s="6">
        <v>20.9</v>
      </c>
      <c r="E51" s="6">
        <v>22.6</v>
      </c>
      <c r="F51" s="6">
        <v>23.6</v>
      </c>
      <c r="G51" s="6">
        <v>24.9</v>
      </c>
      <c r="H51" s="6">
        <v>1.7</v>
      </c>
    </row>
    <row r="52" spans="1:8" ht="12">
      <c r="A52" t="s">
        <v>442</v>
      </c>
      <c r="B52" s="6">
        <v>37.5</v>
      </c>
      <c r="C52" s="6">
        <v>38.8</v>
      </c>
      <c r="D52" s="6">
        <v>39.9</v>
      </c>
      <c r="E52" s="6">
        <v>41.3</v>
      </c>
      <c r="F52" s="6">
        <v>43</v>
      </c>
      <c r="G52" s="6">
        <v>44.9</v>
      </c>
      <c r="H52" s="6">
        <v>0.7</v>
      </c>
    </row>
    <row r="53" spans="1:8" ht="12">
      <c r="A53" t="s">
        <v>340</v>
      </c>
      <c r="B53" s="6">
        <v>23.2</v>
      </c>
      <c r="C53" s="6">
        <v>23.8</v>
      </c>
      <c r="D53" s="6">
        <v>24.3</v>
      </c>
      <c r="E53" s="6">
        <v>24.8</v>
      </c>
      <c r="F53" s="6">
        <v>26</v>
      </c>
      <c r="G53" s="6">
        <v>26.8</v>
      </c>
      <c r="H53" s="6">
        <v>0.6</v>
      </c>
    </row>
    <row r="54" spans="1:8" ht="12">
      <c r="A54" t="s">
        <v>333</v>
      </c>
      <c r="B54" s="6">
        <v>15.4</v>
      </c>
      <c r="C54" s="6">
        <v>18.1</v>
      </c>
      <c r="D54" s="6">
        <v>19.3</v>
      </c>
      <c r="E54" s="6">
        <v>21</v>
      </c>
      <c r="F54" s="6">
        <v>22.4</v>
      </c>
      <c r="G54" s="6">
        <v>23.5</v>
      </c>
      <c r="H54" s="6">
        <v>1.7</v>
      </c>
    </row>
    <row r="55" spans="1:8" s="1" customFormat="1" ht="12">
      <c r="A55" s="1" t="s">
        <v>334</v>
      </c>
      <c r="B55" s="7">
        <v>96.6</v>
      </c>
      <c r="C55" s="7">
        <v>102.2</v>
      </c>
      <c r="D55" s="7">
        <v>107.2</v>
      </c>
      <c r="E55" s="7">
        <v>112.2</v>
      </c>
      <c r="F55" s="7">
        <v>117.3</v>
      </c>
      <c r="G55" s="7">
        <v>122.3</v>
      </c>
      <c r="H55" s="7">
        <v>0.9</v>
      </c>
    </row>
    <row r="56" spans="1:8" s="1" customFormat="1" ht="12">
      <c r="A56" s="1" t="s">
        <v>341</v>
      </c>
      <c r="B56" s="7"/>
      <c r="C56" s="7"/>
      <c r="D56" s="7"/>
      <c r="E56" s="7"/>
      <c r="F56" s="7"/>
      <c r="G56" s="7"/>
      <c r="H56" s="7"/>
    </row>
    <row r="57" spans="1:8" ht="12">
      <c r="A57" t="s">
        <v>342</v>
      </c>
      <c r="B57" s="6">
        <v>98.7</v>
      </c>
      <c r="C57" s="6">
        <v>98.5</v>
      </c>
      <c r="D57" s="6">
        <v>102.1</v>
      </c>
      <c r="E57" s="6">
        <v>103.7</v>
      </c>
      <c r="F57" s="6">
        <v>105.1</v>
      </c>
      <c r="G57" s="6">
        <v>107.2</v>
      </c>
      <c r="H57" s="6">
        <v>0.3</v>
      </c>
    </row>
    <row r="58" spans="1:8" ht="12">
      <c r="A58" t="s">
        <v>441</v>
      </c>
      <c r="B58" s="6">
        <v>53.4</v>
      </c>
      <c r="C58" s="6">
        <v>57.3</v>
      </c>
      <c r="D58" s="6">
        <v>61.2</v>
      </c>
      <c r="E58" s="6">
        <v>64.1</v>
      </c>
      <c r="F58" s="6">
        <v>66.1</v>
      </c>
      <c r="G58" s="6">
        <v>68.3</v>
      </c>
      <c r="H58" s="6">
        <v>1</v>
      </c>
    </row>
    <row r="59" spans="1:8" ht="12">
      <c r="A59" t="s">
        <v>442</v>
      </c>
      <c r="B59" s="6">
        <v>47.3</v>
      </c>
      <c r="C59" s="6">
        <v>48.7</v>
      </c>
      <c r="D59" s="6">
        <v>49.9</v>
      </c>
      <c r="E59" s="6">
        <v>51.2</v>
      </c>
      <c r="F59" s="6">
        <v>52.9</v>
      </c>
      <c r="G59" s="6">
        <v>55</v>
      </c>
      <c r="H59" s="6">
        <v>0.6</v>
      </c>
    </row>
    <row r="60" spans="1:8" ht="12">
      <c r="A60" t="s">
        <v>340</v>
      </c>
      <c r="B60" s="6">
        <v>23.2</v>
      </c>
      <c r="C60" s="6">
        <v>23.8</v>
      </c>
      <c r="D60" s="6">
        <v>24.3</v>
      </c>
      <c r="E60" s="6">
        <v>24.8</v>
      </c>
      <c r="F60" s="6">
        <v>26</v>
      </c>
      <c r="G60" s="6">
        <v>26.8</v>
      </c>
      <c r="H60" s="6">
        <v>0.6</v>
      </c>
    </row>
    <row r="61" spans="1:8" ht="12">
      <c r="A61" t="s">
        <v>333</v>
      </c>
      <c r="B61" s="6">
        <v>18.2</v>
      </c>
      <c r="C61" s="6">
        <v>21.3</v>
      </c>
      <c r="D61" s="6">
        <v>22.9</v>
      </c>
      <c r="E61" s="6">
        <v>25.2</v>
      </c>
      <c r="F61" s="6">
        <v>27.5</v>
      </c>
      <c r="G61" s="6">
        <v>28.7</v>
      </c>
      <c r="H61" s="6">
        <v>1.8</v>
      </c>
    </row>
    <row r="62" spans="1:8" s="1" customFormat="1" ht="12">
      <c r="A62" s="1" t="s">
        <v>334</v>
      </c>
      <c r="B62" s="7">
        <v>240.9</v>
      </c>
      <c r="C62" s="7">
        <v>249.7</v>
      </c>
      <c r="D62" s="7">
        <v>260.5</v>
      </c>
      <c r="E62" s="7">
        <v>269</v>
      </c>
      <c r="F62" s="7">
        <v>277.6</v>
      </c>
      <c r="G62" s="7">
        <v>285.9</v>
      </c>
      <c r="H62" s="7">
        <v>0.7</v>
      </c>
    </row>
    <row r="64" ht="12">
      <c r="A64" t="s">
        <v>404</v>
      </c>
    </row>
    <row r="65" ht="12">
      <c r="A65" t="s">
        <v>405</v>
      </c>
    </row>
    <row r="66" ht="12">
      <c r="A66" t="s">
        <v>403</v>
      </c>
    </row>
    <row r="67" ht="12">
      <c r="A67" t="s">
        <v>406</v>
      </c>
    </row>
    <row r="68" ht="12">
      <c r="A68" t="s">
        <v>421</v>
      </c>
    </row>
  </sheetData>
  <mergeCells count="1">
    <mergeCell ref="H10:J11"/>
  </mergeCells>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J68"/>
  <sheetViews>
    <sheetView zoomScale="150" zoomScaleNormal="150" workbookViewId="0" topLeftCell="A2">
      <selection activeCell="L51" sqref="L51"/>
    </sheetView>
  </sheetViews>
  <sheetFormatPr defaultColWidth="11.421875" defaultRowHeight="12.75"/>
  <cols>
    <col min="1" max="1" width="31.421875" style="0" customWidth="1"/>
    <col min="2" max="2" width="9.421875" style="0" bestFit="1" customWidth="1"/>
    <col min="3" max="3" width="9.28125" style="0" bestFit="1" customWidth="1"/>
    <col min="4" max="6" width="9.421875" style="0" bestFit="1" customWidth="1"/>
    <col min="7" max="8" width="9.28125" style="0" bestFit="1" customWidth="1"/>
    <col min="9" max="16384" width="8.8515625" style="0" customWidth="1"/>
  </cols>
  <sheetData>
    <row r="1" ht="12">
      <c r="A1" t="s">
        <v>422</v>
      </c>
    </row>
    <row r="2" ht="12">
      <c r="A2" t="s">
        <v>423</v>
      </c>
    </row>
    <row r="3" ht="12">
      <c r="A3" t="s">
        <v>424</v>
      </c>
    </row>
    <row r="4" ht="12">
      <c r="A4" t="s">
        <v>425</v>
      </c>
    </row>
    <row r="5" ht="12">
      <c r="A5" t="s">
        <v>426</v>
      </c>
    </row>
    <row r="7" s="1" customFormat="1" ht="12">
      <c r="A7" s="1" t="s">
        <v>345</v>
      </c>
    </row>
    <row r="8" s="1" customFormat="1" ht="12">
      <c r="A8" s="1" t="s">
        <v>436</v>
      </c>
    </row>
    <row r="9" s="1" customFormat="1" ht="12"/>
    <row r="10" spans="1:10" s="1" customFormat="1" ht="12.75" customHeight="1">
      <c r="A10" s="1" t="s">
        <v>439</v>
      </c>
      <c r="C10" s="1" t="s">
        <v>437</v>
      </c>
      <c r="H10" s="173" t="s">
        <v>465</v>
      </c>
      <c r="I10" s="173"/>
      <c r="J10" s="174"/>
    </row>
    <row r="11" spans="2:10" s="1" customFormat="1" ht="12">
      <c r="B11" s="1">
        <v>2005</v>
      </c>
      <c r="C11" s="1">
        <v>2010</v>
      </c>
      <c r="D11" s="1">
        <v>2015</v>
      </c>
      <c r="E11" s="1">
        <v>2020</v>
      </c>
      <c r="F11" s="1">
        <v>2025</v>
      </c>
      <c r="G11" s="1">
        <v>2030</v>
      </c>
      <c r="H11" s="173"/>
      <c r="I11" s="173"/>
      <c r="J11" s="174"/>
    </row>
    <row r="12" s="1" customFormat="1" ht="12"/>
    <row r="13" spans="1:8" s="1" customFormat="1" ht="12">
      <c r="A13" s="1" t="s">
        <v>440</v>
      </c>
      <c r="B13" s="2"/>
      <c r="C13" s="2"/>
      <c r="D13" s="2"/>
      <c r="E13" s="2"/>
      <c r="F13" s="2"/>
      <c r="G13" s="2"/>
      <c r="H13" s="2"/>
    </row>
    <row r="14" spans="1:8" ht="12">
      <c r="A14" t="s">
        <v>342</v>
      </c>
      <c r="B14" s="8">
        <v>1.5</v>
      </c>
      <c r="C14" s="8">
        <v>1.3</v>
      </c>
      <c r="D14" s="8">
        <v>1.3</v>
      </c>
      <c r="E14" s="8">
        <v>1.3</v>
      </c>
      <c r="F14" s="8">
        <v>1.3</v>
      </c>
      <c r="G14" s="8">
        <v>1.3</v>
      </c>
      <c r="H14" s="8">
        <v>-0.5</v>
      </c>
    </row>
    <row r="15" spans="1:8" ht="12">
      <c r="A15" t="s">
        <v>441</v>
      </c>
      <c r="B15" s="8">
        <v>5</v>
      </c>
      <c r="C15" s="8">
        <v>4.9</v>
      </c>
      <c r="D15" s="8">
        <v>5.2</v>
      </c>
      <c r="E15" s="8">
        <v>5.3</v>
      </c>
      <c r="F15" s="8">
        <v>5.3</v>
      </c>
      <c r="G15" s="8">
        <v>5.3</v>
      </c>
      <c r="H15" s="8">
        <v>0.3</v>
      </c>
    </row>
    <row r="16" spans="1:8" ht="12">
      <c r="A16" t="s">
        <v>442</v>
      </c>
      <c r="B16" s="8">
        <v>0</v>
      </c>
      <c r="C16" s="8">
        <v>0</v>
      </c>
      <c r="D16" s="8">
        <v>0</v>
      </c>
      <c r="E16" s="8">
        <v>0</v>
      </c>
      <c r="F16" s="8">
        <v>0</v>
      </c>
      <c r="G16" s="8">
        <v>0</v>
      </c>
      <c r="H16" s="8">
        <v>-0.7</v>
      </c>
    </row>
    <row r="17" spans="1:8" s="4" customFormat="1" ht="12">
      <c r="A17" s="4" t="s">
        <v>320</v>
      </c>
      <c r="B17" s="5">
        <v>4.6</v>
      </c>
      <c r="C17" s="5">
        <v>4.9</v>
      </c>
      <c r="D17" s="5">
        <v>5</v>
      </c>
      <c r="E17" s="5">
        <v>5.3</v>
      </c>
      <c r="F17" s="5">
        <v>5.5</v>
      </c>
      <c r="G17" s="5">
        <v>5.9</v>
      </c>
      <c r="H17" s="5">
        <v>1</v>
      </c>
    </row>
    <row r="18" spans="1:8" ht="12">
      <c r="A18" t="s">
        <v>333</v>
      </c>
      <c r="B18" s="8">
        <v>0.4</v>
      </c>
      <c r="C18" s="8">
        <v>0.4</v>
      </c>
      <c r="D18" s="8">
        <v>0.4</v>
      </c>
      <c r="E18" s="8">
        <v>0.4</v>
      </c>
      <c r="F18" s="8">
        <v>0.4</v>
      </c>
      <c r="G18" s="8">
        <v>0.4</v>
      </c>
      <c r="H18" s="8">
        <v>-0.7</v>
      </c>
    </row>
    <row r="19" spans="1:8" s="1" customFormat="1" ht="12">
      <c r="A19" s="1" t="s">
        <v>334</v>
      </c>
      <c r="B19" s="2">
        <v>11.5</v>
      </c>
      <c r="C19" s="2">
        <v>11.7</v>
      </c>
      <c r="D19" s="2">
        <v>11.9</v>
      </c>
      <c r="E19" s="2">
        <v>12.3</v>
      </c>
      <c r="F19" s="2">
        <v>12.6</v>
      </c>
      <c r="G19" s="2">
        <v>12.9</v>
      </c>
      <c r="H19" s="2">
        <v>0.4</v>
      </c>
    </row>
    <row r="20" spans="1:8" s="1" customFormat="1" ht="12">
      <c r="A20" s="1" t="s">
        <v>335</v>
      </c>
      <c r="B20" s="2"/>
      <c r="C20" s="2"/>
      <c r="D20" s="2"/>
      <c r="E20" s="2"/>
      <c r="F20" s="2"/>
      <c r="G20" s="2"/>
      <c r="H20" s="2"/>
    </row>
    <row r="21" spans="1:8" s="4" customFormat="1" ht="12">
      <c r="A21" s="4" t="s">
        <v>342</v>
      </c>
      <c r="B21" s="5">
        <v>0.7</v>
      </c>
      <c r="C21" s="5">
        <v>0.6</v>
      </c>
      <c r="D21" s="5">
        <v>0.7</v>
      </c>
      <c r="E21" s="5">
        <v>0.7</v>
      </c>
      <c r="F21" s="5">
        <v>0.7</v>
      </c>
      <c r="G21" s="5">
        <v>0.7</v>
      </c>
      <c r="H21" s="5">
        <v>-0.2</v>
      </c>
    </row>
    <row r="22" spans="1:8" s="4" customFormat="1" ht="12">
      <c r="A22" s="4" t="s">
        <v>441</v>
      </c>
      <c r="B22" s="5">
        <v>3.1</v>
      </c>
      <c r="C22" s="5">
        <v>3</v>
      </c>
      <c r="D22" s="5">
        <v>3.3</v>
      </c>
      <c r="E22" s="5">
        <v>3.5</v>
      </c>
      <c r="F22" s="5">
        <v>3.6</v>
      </c>
      <c r="G22" s="5">
        <v>3.8</v>
      </c>
      <c r="H22" s="5">
        <v>0.8</v>
      </c>
    </row>
    <row r="23" spans="1:8" s="4" customFormat="1" ht="12">
      <c r="A23" s="4" t="s">
        <v>442</v>
      </c>
      <c r="B23" s="5">
        <v>0.1</v>
      </c>
      <c r="C23" s="5">
        <v>0.1</v>
      </c>
      <c r="D23" s="5">
        <v>0.1</v>
      </c>
      <c r="E23" s="5">
        <v>0.1</v>
      </c>
      <c r="F23" s="5">
        <v>0.1</v>
      </c>
      <c r="G23" s="5">
        <v>0.1</v>
      </c>
      <c r="H23" s="5">
        <v>-0.1</v>
      </c>
    </row>
    <row r="24" spans="1:8" s="4" customFormat="1" ht="12">
      <c r="A24" s="4" t="s">
        <v>320</v>
      </c>
      <c r="B24" s="5">
        <v>4.4</v>
      </c>
      <c r="C24" s="5">
        <v>4.7</v>
      </c>
      <c r="D24" s="5">
        <v>5.2</v>
      </c>
      <c r="E24" s="5">
        <v>5.7</v>
      </c>
      <c r="F24" s="5">
        <v>6.1</v>
      </c>
      <c r="G24" s="5">
        <v>6.6</v>
      </c>
      <c r="H24" s="5">
        <v>1.7</v>
      </c>
    </row>
    <row r="25" spans="1:8" ht="12">
      <c r="A25" t="s">
        <v>333</v>
      </c>
      <c r="B25" s="8">
        <v>0.1</v>
      </c>
      <c r="C25" s="8">
        <v>0.1</v>
      </c>
      <c r="D25" s="8">
        <v>0.1</v>
      </c>
      <c r="E25" s="8">
        <v>0.1</v>
      </c>
      <c r="F25" s="8">
        <v>0.1</v>
      </c>
      <c r="G25" s="8">
        <v>0.1</v>
      </c>
      <c r="H25" s="8">
        <v>0</v>
      </c>
    </row>
    <row r="26" spans="1:8" s="1" customFormat="1" ht="12">
      <c r="A26" s="1" t="s">
        <v>334</v>
      </c>
      <c r="B26" s="2">
        <v>8.4</v>
      </c>
      <c r="C26" s="2">
        <v>8.6</v>
      </c>
      <c r="D26" s="2">
        <v>9.4</v>
      </c>
      <c r="E26" s="2">
        <v>10</v>
      </c>
      <c r="F26" s="2">
        <v>10.7</v>
      </c>
      <c r="G26" s="2">
        <v>11.3</v>
      </c>
      <c r="H26" s="2">
        <v>1.2</v>
      </c>
    </row>
    <row r="27" spans="1:8" s="1" customFormat="1" ht="12">
      <c r="A27" s="1" t="s">
        <v>336</v>
      </c>
      <c r="B27" s="2"/>
      <c r="C27" s="2"/>
      <c r="D27" s="2"/>
      <c r="E27" s="2"/>
      <c r="F27" s="2"/>
      <c r="G27" s="2"/>
      <c r="H27" s="2"/>
    </row>
    <row r="28" spans="1:8" ht="12">
      <c r="A28" t="s">
        <v>342</v>
      </c>
      <c r="B28" s="8">
        <v>9.8</v>
      </c>
      <c r="C28" s="8">
        <v>9.7</v>
      </c>
      <c r="D28" s="8">
        <v>9.6</v>
      </c>
      <c r="E28" s="8">
        <v>9.3</v>
      </c>
      <c r="F28" s="8">
        <v>9.2</v>
      </c>
      <c r="G28" s="8">
        <v>9.2</v>
      </c>
      <c r="H28" s="8">
        <v>-0.2</v>
      </c>
    </row>
    <row r="29" spans="1:8" ht="12">
      <c r="A29" t="s">
        <v>441</v>
      </c>
      <c r="B29" s="8">
        <v>7.9</v>
      </c>
      <c r="C29" s="8">
        <v>8.4</v>
      </c>
      <c r="D29" s="8">
        <v>8.4</v>
      </c>
      <c r="E29" s="8">
        <v>8.4</v>
      </c>
      <c r="F29" s="8">
        <v>8.4</v>
      </c>
      <c r="G29" s="8">
        <v>8.3</v>
      </c>
      <c r="H29" s="8">
        <v>0.2</v>
      </c>
    </row>
    <row r="30" spans="1:8" s="4" customFormat="1" ht="12">
      <c r="A30" s="4" t="s">
        <v>442</v>
      </c>
      <c r="B30" s="5">
        <v>1.9</v>
      </c>
      <c r="C30" s="5">
        <v>1.9</v>
      </c>
      <c r="D30" s="5">
        <v>1.9</v>
      </c>
      <c r="E30" s="5">
        <v>2.1</v>
      </c>
      <c r="F30" s="5">
        <v>2.1</v>
      </c>
      <c r="G30" s="5">
        <v>2.3</v>
      </c>
      <c r="H30" s="5">
        <v>0.6</v>
      </c>
    </row>
    <row r="31" spans="1:8" s="4" customFormat="1" ht="12">
      <c r="A31" s="4" t="s">
        <v>320</v>
      </c>
      <c r="B31" s="5">
        <v>3.5</v>
      </c>
      <c r="C31" s="5">
        <v>3.5</v>
      </c>
      <c r="D31" s="5">
        <v>3.6</v>
      </c>
      <c r="E31" s="5">
        <v>3.6</v>
      </c>
      <c r="F31" s="5">
        <v>3.6</v>
      </c>
      <c r="G31" s="5">
        <v>3.5</v>
      </c>
      <c r="H31" s="5">
        <v>0.1</v>
      </c>
    </row>
    <row r="32" spans="1:8" ht="12">
      <c r="A32" t="s">
        <v>333</v>
      </c>
      <c r="B32" s="8">
        <v>1.9</v>
      </c>
      <c r="C32" s="8">
        <v>2.3</v>
      </c>
      <c r="D32" s="8">
        <v>2.7</v>
      </c>
      <c r="E32" s="8">
        <v>3.3</v>
      </c>
      <c r="F32" s="8">
        <v>4.2</v>
      </c>
      <c r="G32" s="8">
        <v>4.3</v>
      </c>
      <c r="H32" s="8">
        <v>3.4</v>
      </c>
    </row>
    <row r="33" spans="1:8" s="1" customFormat="1" ht="12">
      <c r="A33" s="1" t="s">
        <v>334</v>
      </c>
      <c r="B33" s="2">
        <v>25</v>
      </c>
      <c r="C33" s="2">
        <v>25.8</v>
      </c>
      <c r="D33" s="2">
        <v>26.3</v>
      </c>
      <c r="E33" s="2">
        <v>26.7</v>
      </c>
      <c r="F33" s="2">
        <v>27.5</v>
      </c>
      <c r="G33" s="2">
        <v>27.7</v>
      </c>
      <c r="H33" s="2">
        <v>0.4</v>
      </c>
    </row>
    <row r="34" spans="1:8" s="1" customFormat="1" ht="12">
      <c r="A34" s="1" t="s">
        <v>337</v>
      </c>
      <c r="B34" s="2"/>
      <c r="C34" s="2"/>
      <c r="D34" s="2"/>
      <c r="E34" s="2"/>
      <c r="F34" s="2"/>
      <c r="G34" s="2"/>
      <c r="H34" s="2"/>
    </row>
    <row r="35" spans="1:8" ht="12">
      <c r="A35" t="s">
        <v>342</v>
      </c>
      <c r="B35" s="8">
        <v>27.3</v>
      </c>
      <c r="C35" s="8">
        <v>28.3</v>
      </c>
      <c r="D35" s="8">
        <v>29.6</v>
      </c>
      <c r="E35" s="8">
        <v>30.4</v>
      </c>
      <c r="F35" s="8">
        <v>31</v>
      </c>
      <c r="G35" s="8">
        <v>32.1</v>
      </c>
      <c r="H35" s="8">
        <v>0.7</v>
      </c>
    </row>
    <row r="36" spans="1:8" s="4" customFormat="1" ht="12">
      <c r="A36" s="4" t="s">
        <v>441</v>
      </c>
      <c r="B36" s="5">
        <v>0.6</v>
      </c>
      <c r="C36" s="5">
        <v>0.7</v>
      </c>
      <c r="D36" s="5">
        <v>0.7</v>
      </c>
      <c r="E36" s="5">
        <v>0.8</v>
      </c>
      <c r="F36" s="5">
        <v>0.8</v>
      </c>
      <c r="G36" s="5">
        <v>0.8</v>
      </c>
      <c r="H36" s="5">
        <v>1.1</v>
      </c>
    </row>
    <row r="37" spans="1:8" ht="12">
      <c r="A37" t="s">
        <v>442</v>
      </c>
      <c r="B37" s="6">
        <v>0</v>
      </c>
      <c r="C37" s="6">
        <v>0</v>
      </c>
      <c r="D37" s="6">
        <v>0</v>
      </c>
      <c r="E37" s="6">
        <v>0</v>
      </c>
      <c r="F37" s="6">
        <v>0</v>
      </c>
      <c r="G37" s="6">
        <v>0</v>
      </c>
      <c r="H37" s="9" t="s">
        <v>438</v>
      </c>
    </row>
    <row r="38" spans="1:8" ht="12">
      <c r="A38" t="s">
        <v>320</v>
      </c>
      <c r="B38" s="6">
        <v>0</v>
      </c>
      <c r="C38" s="6">
        <v>0</v>
      </c>
      <c r="D38" s="6">
        <v>0</v>
      </c>
      <c r="E38" s="6">
        <v>0</v>
      </c>
      <c r="F38" s="6">
        <v>0</v>
      </c>
      <c r="G38" s="6">
        <v>0</v>
      </c>
      <c r="H38" s="6">
        <v>1.3</v>
      </c>
    </row>
    <row r="39" spans="1:8" s="1" customFormat="1" ht="12">
      <c r="A39" s="1" t="s">
        <v>334</v>
      </c>
      <c r="B39" s="7">
        <v>27.9</v>
      </c>
      <c r="C39" s="7">
        <v>29</v>
      </c>
      <c r="D39" s="7">
        <v>30.4</v>
      </c>
      <c r="E39" s="7">
        <v>31.2</v>
      </c>
      <c r="F39" s="7">
        <v>31.9</v>
      </c>
      <c r="G39" s="7">
        <v>33</v>
      </c>
      <c r="H39" s="7">
        <v>0.7</v>
      </c>
    </row>
    <row r="40" spans="1:8" s="1" customFormat="1" ht="12">
      <c r="A40" s="1" t="s">
        <v>338</v>
      </c>
      <c r="B40" s="7"/>
      <c r="C40" s="7"/>
      <c r="D40" s="7"/>
      <c r="E40" s="7"/>
      <c r="F40" s="7"/>
      <c r="G40" s="7"/>
      <c r="H40" s="7"/>
    </row>
    <row r="41" spans="1:8" ht="12">
      <c r="A41" t="s">
        <v>342</v>
      </c>
      <c r="B41" s="6">
        <v>39.2</v>
      </c>
      <c r="C41" s="6">
        <v>39.9</v>
      </c>
      <c r="D41" s="6">
        <v>41.2</v>
      </c>
      <c r="E41" s="6">
        <v>41.7</v>
      </c>
      <c r="F41" s="6">
        <v>42.2</v>
      </c>
      <c r="G41" s="6">
        <v>43.4</v>
      </c>
      <c r="H41" s="6">
        <v>0.4</v>
      </c>
    </row>
    <row r="42" spans="1:8" ht="12">
      <c r="A42" t="s">
        <v>441</v>
      </c>
      <c r="B42" s="6">
        <v>16.6</v>
      </c>
      <c r="C42" s="6">
        <v>17</v>
      </c>
      <c r="D42" s="6">
        <v>17.6</v>
      </c>
      <c r="E42" s="6">
        <v>17.9</v>
      </c>
      <c r="F42" s="6">
        <v>18.2</v>
      </c>
      <c r="G42" s="6">
        <v>18.3</v>
      </c>
      <c r="H42" s="6">
        <v>0.4</v>
      </c>
    </row>
    <row r="43" spans="1:8" ht="12">
      <c r="A43" t="s">
        <v>442</v>
      </c>
      <c r="B43" s="6">
        <v>2</v>
      </c>
      <c r="C43" s="6">
        <v>2</v>
      </c>
      <c r="D43" s="6">
        <v>2</v>
      </c>
      <c r="E43" s="6">
        <v>2.2</v>
      </c>
      <c r="F43" s="6">
        <v>2.2</v>
      </c>
      <c r="G43" s="6">
        <v>2.3</v>
      </c>
      <c r="H43" s="6">
        <v>0.6</v>
      </c>
    </row>
    <row r="44" spans="1:8" ht="12">
      <c r="A44" t="s">
        <v>320</v>
      </c>
      <c r="B44" s="6">
        <v>12.5</v>
      </c>
      <c r="C44" s="6">
        <v>13.2</v>
      </c>
      <c r="D44" s="6">
        <v>13.9</v>
      </c>
      <c r="E44" s="6">
        <v>14.5</v>
      </c>
      <c r="F44" s="6">
        <v>15.3</v>
      </c>
      <c r="G44" s="6">
        <v>16.1</v>
      </c>
      <c r="H44" s="6">
        <v>1</v>
      </c>
    </row>
    <row r="45" spans="1:8" ht="12">
      <c r="A45" t="s">
        <v>333</v>
      </c>
      <c r="B45" s="6">
        <v>2.5</v>
      </c>
      <c r="C45" s="6">
        <v>2.9</v>
      </c>
      <c r="D45" s="6">
        <v>3.3</v>
      </c>
      <c r="E45" s="6">
        <v>3.9</v>
      </c>
      <c r="F45" s="6">
        <v>4.7</v>
      </c>
      <c r="G45" s="6">
        <v>4.8</v>
      </c>
      <c r="H45" s="6">
        <v>2.7</v>
      </c>
    </row>
    <row r="46" spans="1:8" s="1" customFormat="1" ht="12">
      <c r="A46" s="1" t="s">
        <v>339</v>
      </c>
      <c r="B46" s="7">
        <v>72.8</v>
      </c>
      <c r="C46" s="7">
        <v>75.1</v>
      </c>
      <c r="D46" s="7">
        <v>78</v>
      </c>
      <c r="E46" s="7">
        <v>80.2</v>
      </c>
      <c r="F46" s="7">
        <v>82.6</v>
      </c>
      <c r="G46" s="7">
        <v>84.9</v>
      </c>
      <c r="H46" s="7">
        <v>0.6</v>
      </c>
    </row>
    <row r="47" spans="1:8" ht="12">
      <c r="A47" t="s">
        <v>277</v>
      </c>
      <c r="B47" s="6">
        <v>27.3</v>
      </c>
      <c r="C47" s="6">
        <v>28.3</v>
      </c>
      <c r="D47" s="6">
        <v>29.3</v>
      </c>
      <c r="E47" s="6">
        <v>30.7</v>
      </c>
      <c r="F47" s="6">
        <v>31.9</v>
      </c>
      <c r="G47" s="6">
        <v>33.2</v>
      </c>
      <c r="H47" s="6">
        <v>0.8</v>
      </c>
    </row>
    <row r="48" spans="1:8" s="1" customFormat="1" ht="12">
      <c r="A48" s="1" t="s">
        <v>334</v>
      </c>
      <c r="B48" s="7">
        <v>100.1</v>
      </c>
      <c r="C48" s="7">
        <v>103.3</v>
      </c>
      <c r="D48" s="7">
        <v>107.3</v>
      </c>
      <c r="E48" s="7">
        <v>110.8</v>
      </c>
      <c r="F48" s="7">
        <v>114.5</v>
      </c>
      <c r="G48" s="7">
        <v>118</v>
      </c>
      <c r="H48" s="7">
        <v>0.7</v>
      </c>
    </row>
    <row r="49" spans="1:8" s="1" customFormat="1" ht="12">
      <c r="A49" s="1" t="s">
        <v>278</v>
      </c>
      <c r="B49" s="7"/>
      <c r="C49" s="7"/>
      <c r="D49" s="7"/>
      <c r="E49" s="7"/>
      <c r="F49" s="7"/>
      <c r="G49" s="7"/>
      <c r="H49" s="7"/>
    </row>
    <row r="50" spans="1:8" ht="12">
      <c r="A50" t="s">
        <v>342</v>
      </c>
      <c r="B50" s="6">
        <v>1.2</v>
      </c>
      <c r="C50" s="6">
        <v>0.6</v>
      </c>
      <c r="D50" s="6">
        <v>0.6</v>
      </c>
      <c r="E50" s="6">
        <v>0.6</v>
      </c>
      <c r="F50" s="6">
        <v>0.6</v>
      </c>
      <c r="G50" s="6">
        <v>0.6</v>
      </c>
      <c r="H50" s="6">
        <v>-2.7</v>
      </c>
    </row>
    <row r="51" spans="1:8" ht="12">
      <c r="A51" t="s">
        <v>441</v>
      </c>
      <c r="B51" s="6">
        <v>6</v>
      </c>
      <c r="C51" s="6">
        <v>6.9</v>
      </c>
      <c r="D51" s="6">
        <v>6.7</v>
      </c>
      <c r="E51" s="6">
        <v>6.1</v>
      </c>
      <c r="F51" s="6">
        <v>5.4</v>
      </c>
      <c r="G51" s="6">
        <v>5.1</v>
      </c>
      <c r="H51" s="6">
        <v>-0.6</v>
      </c>
    </row>
    <row r="52" spans="1:8" ht="12">
      <c r="A52" t="s">
        <v>442</v>
      </c>
      <c r="B52" s="6">
        <v>20.7</v>
      </c>
      <c r="C52" s="6">
        <v>21</v>
      </c>
      <c r="D52" s="6">
        <v>22.2</v>
      </c>
      <c r="E52" s="6">
        <v>23.7</v>
      </c>
      <c r="F52" s="6">
        <v>25.5</v>
      </c>
      <c r="G52" s="6">
        <v>27.5</v>
      </c>
      <c r="H52" s="6">
        <v>1.1</v>
      </c>
    </row>
    <row r="53" spans="1:8" ht="12">
      <c r="A53" t="s">
        <v>340</v>
      </c>
      <c r="B53" s="6">
        <v>8.2</v>
      </c>
      <c r="C53" s="6">
        <v>8.3</v>
      </c>
      <c r="D53" s="6">
        <v>8.4</v>
      </c>
      <c r="E53" s="6">
        <v>9.1</v>
      </c>
      <c r="F53" s="6">
        <v>9.5</v>
      </c>
      <c r="G53" s="6">
        <v>9.6</v>
      </c>
      <c r="H53" s="6">
        <v>0.6</v>
      </c>
    </row>
    <row r="54" spans="1:8" ht="12">
      <c r="A54" t="s">
        <v>333</v>
      </c>
      <c r="B54" s="6">
        <v>3.4</v>
      </c>
      <c r="C54" s="6">
        <v>4.6</v>
      </c>
      <c r="D54" s="6">
        <v>5.1</v>
      </c>
      <c r="E54" s="6">
        <v>5.7</v>
      </c>
      <c r="F54" s="6">
        <v>6</v>
      </c>
      <c r="G54" s="6">
        <v>6.2</v>
      </c>
      <c r="H54" s="6">
        <v>2.4</v>
      </c>
    </row>
    <row r="55" spans="1:8" s="1" customFormat="1" ht="12">
      <c r="A55" s="1" t="s">
        <v>334</v>
      </c>
      <c r="B55" s="7">
        <v>39.7</v>
      </c>
      <c r="C55" s="7">
        <v>41.5</v>
      </c>
      <c r="D55" s="7">
        <v>43.1</v>
      </c>
      <c r="E55" s="7">
        <v>45.2</v>
      </c>
      <c r="F55" s="7">
        <v>47.2</v>
      </c>
      <c r="G55" s="7">
        <v>49.2</v>
      </c>
      <c r="H55" s="7">
        <v>0.9</v>
      </c>
    </row>
    <row r="56" spans="1:8" s="1" customFormat="1" ht="12">
      <c r="A56" s="1" t="s">
        <v>341</v>
      </c>
      <c r="B56" s="7"/>
      <c r="C56" s="7"/>
      <c r="D56" s="7"/>
      <c r="E56" s="7"/>
      <c r="F56" s="7"/>
      <c r="G56" s="7"/>
      <c r="H56" s="7"/>
    </row>
    <row r="57" spans="1:8" ht="12">
      <c r="A57" t="s">
        <v>342</v>
      </c>
      <c r="B57" s="6">
        <v>40.5</v>
      </c>
      <c r="C57" s="6">
        <v>40.5</v>
      </c>
      <c r="D57" s="6">
        <v>41.8</v>
      </c>
      <c r="E57" s="6">
        <v>42.2</v>
      </c>
      <c r="F57" s="6">
        <v>42.8</v>
      </c>
      <c r="G57" s="6">
        <v>44</v>
      </c>
      <c r="H57" s="6">
        <v>0.3</v>
      </c>
    </row>
    <row r="58" spans="1:8" ht="12">
      <c r="A58" t="s">
        <v>441</v>
      </c>
      <c r="B58" s="6">
        <v>22.6</v>
      </c>
      <c r="C58" s="6">
        <v>23.9</v>
      </c>
      <c r="D58" s="6">
        <v>24.4</v>
      </c>
      <c r="E58" s="6">
        <v>24</v>
      </c>
      <c r="F58" s="6">
        <v>23.7</v>
      </c>
      <c r="G58" s="6">
        <v>23.4</v>
      </c>
      <c r="H58" s="6">
        <v>0.1</v>
      </c>
    </row>
    <row r="59" spans="1:8" ht="12">
      <c r="A59" t="s">
        <v>442</v>
      </c>
      <c r="B59" s="6">
        <v>22.8</v>
      </c>
      <c r="C59" s="6">
        <v>23</v>
      </c>
      <c r="D59" s="6">
        <v>24.2</v>
      </c>
      <c r="E59" s="6">
        <v>25.9</v>
      </c>
      <c r="F59" s="6">
        <v>27.7</v>
      </c>
      <c r="G59" s="6">
        <v>29.9</v>
      </c>
      <c r="H59" s="6">
        <v>1.1</v>
      </c>
    </row>
    <row r="60" spans="1:8" ht="12">
      <c r="A60" t="s">
        <v>340</v>
      </c>
      <c r="B60" s="6">
        <v>8.2</v>
      </c>
      <c r="C60" s="6">
        <v>8.3</v>
      </c>
      <c r="D60" s="6">
        <v>8.4</v>
      </c>
      <c r="E60" s="6">
        <v>9.1</v>
      </c>
      <c r="F60" s="6">
        <v>9.5</v>
      </c>
      <c r="G60" s="6">
        <v>9.6</v>
      </c>
      <c r="H60" s="6">
        <v>0.6</v>
      </c>
    </row>
    <row r="61" spans="1:8" ht="12">
      <c r="A61" t="s">
        <v>333</v>
      </c>
      <c r="B61" s="6">
        <v>6</v>
      </c>
      <c r="C61" s="6">
        <v>7.6</v>
      </c>
      <c r="D61" s="6">
        <v>8.5</v>
      </c>
      <c r="E61" s="6">
        <v>9.7</v>
      </c>
      <c r="F61" s="6">
        <v>10.9</v>
      </c>
      <c r="G61" s="6">
        <v>11.2</v>
      </c>
      <c r="H61" s="6">
        <v>2.5</v>
      </c>
    </row>
    <row r="62" spans="1:8" s="1" customFormat="1" ht="12">
      <c r="A62" s="1" t="s">
        <v>334</v>
      </c>
      <c r="B62" s="7">
        <v>100.1</v>
      </c>
      <c r="C62" s="7">
        <v>103.3</v>
      </c>
      <c r="D62" s="7">
        <v>107.3</v>
      </c>
      <c r="E62" s="7">
        <v>110.8</v>
      </c>
      <c r="F62" s="7">
        <v>114.5</v>
      </c>
      <c r="G62" s="7">
        <v>118</v>
      </c>
      <c r="H62" s="7">
        <v>0.7</v>
      </c>
    </row>
    <row r="64" ht="12">
      <c r="A64" t="s">
        <v>404</v>
      </c>
    </row>
    <row r="65" ht="12">
      <c r="A65" t="s">
        <v>405</v>
      </c>
    </row>
    <row r="66" ht="12">
      <c r="A66" t="s">
        <v>403</v>
      </c>
    </row>
    <row r="67" ht="12">
      <c r="A67" t="s">
        <v>406</v>
      </c>
    </row>
    <row r="68" ht="12">
      <c r="A68" t="s">
        <v>421</v>
      </c>
    </row>
  </sheetData>
  <mergeCells count="1">
    <mergeCell ref="H10:J11"/>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Econometrica,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L. Smith</dc:creator>
  <cp:keywords/>
  <dc:description/>
  <cp:lastModifiedBy>Mark Delucchi</cp:lastModifiedBy>
  <dcterms:created xsi:type="dcterms:W3CDTF">2006-06-05T12:56:03Z</dcterms:created>
  <dcterms:modified xsi:type="dcterms:W3CDTF">2008-06-16T18:13:16Z</dcterms:modified>
  <cp:category/>
  <cp:version/>
  <cp:contentType/>
  <cp:contentStatus/>
</cp:coreProperties>
</file>